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E:\Users\Alex\Documents\Electronics Projects\Modular Audio\lm5123sim\"/>
    </mc:Choice>
  </mc:AlternateContent>
  <xr:revisionPtr revIDLastSave="0" documentId="13_ncr:1_{C4D04361-7DDF-4D31-A38C-5FD7DF6045C5}" xr6:coauthVersionLast="47" xr6:coauthVersionMax="47" xr10:uidLastSave="{00000000-0000-0000-0000-000000000000}"/>
  <bookViews>
    <workbookView xWindow="-120" yWindow="-120" windowWidth="29040" windowHeight="15840" xr2:uid="{00000000-000D-0000-FFFF-FFFF00000000}"/>
  </bookViews>
  <sheets>
    <sheet name="Design Converter" sheetId="1" r:id="rId1"/>
    <sheet name="Variable_Management" sheetId="2" r:id="rId2"/>
    <sheet name="Eff_vs_IOUT" sheetId="4" r:id="rId3"/>
    <sheet name="Loop_Modeling" sheetId="5" r:id="rId4"/>
    <sheet name="Constants" sheetId="3" r:id="rId5"/>
    <sheet name="Plot_Management_Eff" sheetId="6" r:id="rId6"/>
    <sheet name="Plot_Management_Sch" sheetId="7" r:id="rId7"/>
    <sheet name="Lists" sheetId="8" r:id="rId8"/>
    <sheet name="Sheet1" sheetId="9" r:id="rId9"/>
  </sheets>
  <definedNames>
    <definedName name="Acs">Constants!$B$33</definedName>
    <definedName name="Adc">Loop_Modeling!$B$38</definedName>
    <definedName name="Adc_ea">Loop_Modeling!$B$62</definedName>
    <definedName name="ADC_VINmin">Variable_Management!$B$160</definedName>
    <definedName name="CCOMP">Variable_Management!$B$225</definedName>
    <definedName name="CCOMP_Calc">Variable_Management!$B$224</definedName>
    <definedName name="CCOMP_calc_CCM">Variable_Management!$B$189</definedName>
    <definedName name="CCOMP_CALC_DCM">Variable_Management!$B$215</definedName>
    <definedName name="CHF">Variable_Management!$B$227</definedName>
    <definedName name="CHF_calc">Variable_Management!$B$226</definedName>
    <definedName name="CHF_CALC_CCM">Variable_Management!$B$190</definedName>
    <definedName name="CHF_CALC_DCM">Variable_Management!$B$216</definedName>
    <definedName name="Comp_calc_CCM">Variable_Management!$B$189</definedName>
    <definedName name="Cout">Variable_Management!$B$110</definedName>
    <definedName name="Cout_min">Variable_Management!$B$108</definedName>
    <definedName name="D_limit_max">Constants!$B$18</definedName>
    <definedName name="D_limit_min">Constants!$B$16</definedName>
    <definedName name="D_limit_nom">Constants!$B$17</definedName>
    <definedName name="DC_DCM_max">Variable_Management!$B$39</definedName>
    <definedName name="Dc_max_IC">Variable_Management!$B$23</definedName>
    <definedName name="Dc_max_ideal">Variable_Management!$A$22</definedName>
    <definedName name="DC_rip">Variable_Management!$B$32</definedName>
    <definedName name="Dc_rip_max">Variable_Management!$B$31</definedName>
    <definedName name="Dc_VIN_max">Variable_Management!$B$71</definedName>
    <definedName name="Dc_VIN_min">Variable_Management!$B$55</definedName>
    <definedName name="Dc_VIN_nom">Variable_Management!$B$63</definedName>
    <definedName name="DC_VIN_var_DCM">Loop_Modeling!$B$70</definedName>
    <definedName name="_xlnm.Print_Area" localSheetId="0">'Design Converter'!$A$1:$Z$97</definedName>
    <definedName name="EFF_est">Variable_Management!$B$16</definedName>
    <definedName name="Eff_vs_IOUT">Plot_Management_Eff!$C$3</definedName>
    <definedName name="fcross">Variable_Management!$B$220</definedName>
    <definedName name="fcross_est">Variable_Management!$B$219</definedName>
    <definedName name="fp_ea_est">Variable_Management!$B$182</definedName>
    <definedName name="Fsw">Variable_Management!$B$10</definedName>
    <definedName name="fz_ea_est">Variable_Management!$B$181</definedName>
    <definedName name="fz_rhp">Variable_Management!$B$169</definedName>
    <definedName name="Gcomp">Constants!$B$32</definedName>
    <definedName name="Gea_mid_calc">Variable_Management!#REF!</definedName>
    <definedName name="gfs">Variable_Management!$B$243</definedName>
    <definedName name="gm_ea">Constants!$B$37</definedName>
    <definedName name="Gplant_fc_dB">Loop_Modeling!$AD$7</definedName>
    <definedName name="IIN_33">Variable_Management!$B$35</definedName>
    <definedName name="IL_avg_VIN_max">Variable_Management!$B$73</definedName>
    <definedName name="IL_avg_VIN_min">Variable_Management!$B$57</definedName>
    <definedName name="IL_avg_VIN_nom">Variable_Management!$B$65</definedName>
    <definedName name="IL_pk">Variable_Management!$B$94</definedName>
    <definedName name="IL_pk_max">Variable_Management!$B$95</definedName>
    <definedName name="ILp_VINmax">Variable_Management!$B$75</definedName>
    <definedName name="ILp_VINmin">Variable_Management!$B$59</definedName>
    <definedName name="ILp_VINnom">Variable_Management!$B$67</definedName>
    <definedName name="ILrip">Variable_Management!$B$30</definedName>
    <definedName name="ILrip_VINmax">Variable_Management!$B$74</definedName>
    <definedName name="ILrip_VINmin">Variable_Management!$B$58</definedName>
    <definedName name="ILrip_VINnom">Variable_Management!$B$66</definedName>
    <definedName name="IOUT">Variable_Management!$B$13</definedName>
    <definedName name="IOUT_VAR">Loop_Modeling!$B$17</definedName>
    <definedName name="Ipk_margin">Variable_Management!$B$78</definedName>
    <definedName name="Ipk_selected">Variable_Management!$B$80</definedName>
    <definedName name="IQ">Constants!$B$58</definedName>
    <definedName name="IRMS_COUT">Variable_Management!$B$109</definedName>
    <definedName name="Isl">Constants!$B$26</definedName>
    <definedName name="Iss">Constants!$B$47</definedName>
    <definedName name="Kd">Loop_Modeling!$B$36</definedName>
    <definedName name="Kd_VINmin">Variable_Management!$B$156</definedName>
    <definedName name="Kex">Loop_Modeling!$B$34</definedName>
    <definedName name="Kex_VINmin">Variable_Management!$B$154</definedName>
    <definedName name="Kfb">Variable_Management!$B$139</definedName>
    <definedName name="Kfb_high">Constants!$B$39</definedName>
    <definedName name="Kfb_low">Constants!$B$38</definedName>
    <definedName name="Km">Loop_Modeling!$B$35</definedName>
    <definedName name="Km_VINmin">Variable_Management!$B$155</definedName>
    <definedName name="Kslope">Variable_Management!#REF!</definedName>
    <definedName name="Lm">Variable_Management!$B$47</definedName>
    <definedName name="Lopt">Variable_Management!#REF!</definedName>
    <definedName name="Lopt_2">Variable_Management!$B$36</definedName>
    <definedName name="M_L_DCM">Variable_Management!$B$41</definedName>
    <definedName name="Np">Variable_Management!$B$17</definedName>
    <definedName name="POUT">Variable_Management!$B$15</definedName>
    <definedName name="Q">Loop_Modeling!$B$52</definedName>
    <definedName name="Q_VINmin">Variable_Management!$B$177</definedName>
    <definedName name="Qg_tot">Variable_Management!$B$238</definedName>
    <definedName name="Qg_tot_HS">Variable_Management!$B$255</definedName>
    <definedName name="Qgd">Variable_Management!$B$239</definedName>
    <definedName name="Qgs">Variable_Management!$B$240</definedName>
    <definedName name="Qrr">Variable_Management!$B$263</definedName>
    <definedName name="R_cs">Variable_Management!$B$90</definedName>
    <definedName name="R_sl">Variable_Management!$B$91</definedName>
    <definedName name="RCOMP">Variable_Management!$B$223</definedName>
    <definedName name="RCOMP_Calc">Variable_Management!$B$222</definedName>
    <definedName name="Rcomp_calc_CCM">Variable_Management!$B$188</definedName>
    <definedName name="RCOMP_CALC_DCM">Variable_Management!$B$214</definedName>
    <definedName name="Rcs_max">Variable_Management!$B$83</definedName>
    <definedName name="Rcs_w_sl">Variable_Management!#REF!</definedName>
    <definedName name="Rcs_wo_sl">Variable_Management!$B$84</definedName>
    <definedName name="Rdcr">Variable_Management!$B$48</definedName>
    <definedName name="RDS_on">Variable_Management!$B$237</definedName>
    <definedName name="RDS_on_HS">Variable_Management!$B$254</definedName>
    <definedName name="Resr">Variable_Management!$B$111</definedName>
    <definedName name="RFBB">Variable_Management!$B$147</definedName>
    <definedName name="RFBB_calc">Variable_Management!$B$146</definedName>
    <definedName name="RFBT">Variable_Management!$B$145</definedName>
    <definedName name="Rgate">Variable_Management!$B$241</definedName>
    <definedName name="Rmax">Variable_Management!$B$140</definedName>
    <definedName name="Rmax_high">Constants!$B$41</definedName>
    <definedName name="Rmax_low">Constants!$B$40</definedName>
    <definedName name="Rmin">Variable_Management!$B$141</definedName>
    <definedName name="Rmin_high">Constants!$B$43</definedName>
    <definedName name="Rmin_low">Constants!$B$42</definedName>
    <definedName name="ROUT">Variable_Management!$B$14</definedName>
    <definedName name="Rsl_int">Constants!$B$27</definedName>
    <definedName name="RT">Variable_Management!$B$11</definedName>
    <definedName name="Ruvlo_bottom_calc">Variable_Management!$B$129</definedName>
    <definedName name="Ruvlo_top">Variable_Management!$B$128</definedName>
    <definedName name="Ruvlo_top_calc">Variable_Management!$B$127</definedName>
    <definedName name="SCH">INDIRECT(Plot_Management_Sch!$A$1)</definedName>
    <definedName name="SCH_1">Plot_Management_Sch!$B$2</definedName>
    <definedName name="SCH_2">Plot_Management_Sch!$B$5</definedName>
    <definedName name="SCH_3">Plot_Management_Sch!$B$7</definedName>
    <definedName name="Se_VINmin">Variable_Management!$B$173</definedName>
    <definedName name="Sn_VINmin">Variable_Management!$B$174</definedName>
    <definedName name="t_dead">Constants!$B$24</definedName>
    <definedName name="tf_sw">Variable_Management!$B$250</definedName>
    <definedName name="tr_sw">Variable_Management!$B$249</definedName>
    <definedName name="tss">Variable_Management!$B$118</definedName>
    <definedName name="UV_fall">Constants!$B$51</definedName>
    <definedName name="UV_I_hyst">Constants!$B$52</definedName>
    <definedName name="UV_rise">Constants!$B$50</definedName>
    <definedName name="Vcc">Constants!$B$55</definedName>
    <definedName name="Vcl">Constants!$B$30</definedName>
    <definedName name="Vd_rect">Variable_Management!$B$264</definedName>
    <definedName name="VIN_33">Variable_Management!$B$33</definedName>
    <definedName name="VIN_max">Variable_Management!$B$9</definedName>
    <definedName name="VIN_min">Variable_Management!$B$7</definedName>
    <definedName name="VIN_nom">Variable_Management!$B$8</definedName>
    <definedName name="VIN_op_max">Constants!$B$62</definedName>
    <definedName name="VIN_op_min">Constants!$B$61</definedName>
    <definedName name="VIN_var">Variable_Management!$B$8</definedName>
    <definedName name="VOUT">Variable_Management!$B$12</definedName>
    <definedName name="VOUT_range">Variable_Management!$B$19</definedName>
    <definedName name="Vout_rip_sel">Variable_Management!$B$106</definedName>
    <definedName name="Vref">Constants!$B$36</definedName>
    <definedName name="Vsl">Constants!$B$28</definedName>
    <definedName name="Vth">Variable_Management!$B$244</definedName>
    <definedName name="VTRK">Variable_Management!$B$142</definedName>
    <definedName name="Vuvlo_off">Variable_Management!$B$123</definedName>
    <definedName name="Vuvlo_on">Variable_Management!$B$122</definedName>
    <definedName name="wp_lf">Loop_Modeling!$B$39</definedName>
    <definedName name="wp_lf_DCM">Loop_Modeling!$B$73</definedName>
    <definedName name="wp_lf_VINmin">Variable_Management!$B$162</definedName>
    <definedName name="wp0_ea">Loop_Modeling!$B$64</definedName>
    <definedName name="wp1_ea">Loop_Modeling!$B$65</definedName>
    <definedName name="wsl">Loop_Modeling!$B$51</definedName>
    <definedName name="wsl_VINmin">Variable_Management!$B$176</definedName>
    <definedName name="wz_ea">Loop_Modeling!$B$63</definedName>
    <definedName name="wz_esr">Loop_Modeling!$B$45</definedName>
    <definedName name="wz_esr_VINmin">Variable_Management!$B$165</definedName>
    <definedName name="wz_rhp">Loop_Modeling!$B$42</definedName>
    <definedName name="wz_RHP_VINmin">Variable_Management!$B$168</definedName>
    <definedName name="wz1_dcm">Loop_Modeling!$B$75</definedName>
    <definedName name="wz2_dcm">Loop_Modeling!$B$77</definedName>
  </definedNames>
  <calcPr calcId="181029"/>
</workbook>
</file>

<file path=xl/calcChain.xml><?xml version="1.0" encoding="utf-8"?>
<calcChain xmlns="http://schemas.openxmlformats.org/spreadsheetml/2006/main">
  <c r="A1" i="7" l="1"/>
  <c r="B78" i="2" l="1"/>
  <c r="B24" i="3" l="1"/>
  <c r="B264" i="2"/>
  <c r="B263" i="2"/>
  <c r="B20" i="2"/>
  <c r="B8" i="2"/>
  <c r="T8" i="4" s="1"/>
  <c r="B12" i="2"/>
  <c r="R15" i="4" s="1"/>
  <c r="B7" i="2"/>
  <c r="B3" i="8" s="1"/>
  <c r="B10" i="2"/>
  <c r="B19" i="3" s="1"/>
  <c r="B20" i="3" s="1"/>
  <c r="B23" i="2" s="1"/>
  <c r="H16" i="1" s="1"/>
  <c r="B12" i="3"/>
  <c r="B254" i="2"/>
  <c r="R21" i="4"/>
  <c r="R29" i="4"/>
  <c r="R37" i="4"/>
  <c r="R42" i="4"/>
  <c r="R43" i="4"/>
  <c r="R46" i="4"/>
  <c r="R47" i="4"/>
  <c r="R135" i="4"/>
  <c r="R141" i="4"/>
  <c r="R142" i="4"/>
  <c r="B244" i="2"/>
  <c r="B256" i="2"/>
  <c r="B257" i="2"/>
  <c r="B258" i="2"/>
  <c r="B261" i="2"/>
  <c r="B255" i="2"/>
  <c r="B262" i="2"/>
  <c r="E143" i="2"/>
  <c r="B128" i="2"/>
  <c r="B123" i="2"/>
  <c r="B122" i="2"/>
  <c r="B52" i="3"/>
  <c r="B39" i="2"/>
  <c r="F5" i="8"/>
  <c r="F4" i="8"/>
  <c r="F3" i="8"/>
  <c r="B37" i="3"/>
  <c r="B29" i="5"/>
  <c r="B58" i="3"/>
  <c r="B47" i="3"/>
  <c r="B2" i="6"/>
  <c r="B245" i="2"/>
  <c r="B241" i="2"/>
  <c r="B240" i="2"/>
  <c r="B239" i="2"/>
  <c r="B238" i="2"/>
  <c r="B237" i="2"/>
  <c r="B126" i="2"/>
  <c r="B125" i="2"/>
  <c r="B124" i="2"/>
  <c r="G127" i="2" s="1"/>
  <c r="B118" i="2"/>
  <c r="B116" i="2"/>
  <c r="B220" i="2"/>
  <c r="B180" i="2" s="1"/>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30" i="5"/>
  <c r="B145" i="2"/>
  <c r="B56" i="5" s="1"/>
  <c r="B147" i="2"/>
  <c r="B57" i="5" s="1"/>
  <c r="B225" i="2"/>
  <c r="B227" i="2"/>
  <c r="B60" i="5" s="1"/>
  <c r="B223" i="2"/>
  <c r="B27" i="5"/>
  <c r="B111" i="2"/>
  <c r="B110" i="2"/>
  <c r="B96" i="2"/>
  <c r="B90" i="2"/>
  <c r="B25" i="5" s="1"/>
  <c r="B26" i="3"/>
  <c r="B28" i="5" s="1"/>
  <c r="B26" i="5"/>
  <c r="B48" i="2"/>
  <c r="B22" i="3"/>
  <c r="B30" i="2"/>
  <c r="B14" i="3"/>
  <c r="B10" i="3"/>
  <c r="B9" i="2"/>
  <c r="B12" i="5" s="1"/>
  <c r="B106" i="2"/>
  <c r="M8" i="4"/>
  <c r="B170" i="2"/>
  <c r="R156" i="4" l="1"/>
  <c r="R150" i="4"/>
  <c r="R149" i="4"/>
  <c r="B45" i="5"/>
  <c r="T56" i="5" s="1"/>
  <c r="U56" i="5" s="1"/>
  <c r="B11" i="2"/>
  <c r="H14" i="1" s="1"/>
  <c r="T9" i="4"/>
  <c r="AT9" i="4" s="1"/>
  <c r="T12" i="4"/>
  <c r="AT12" i="4" s="1"/>
  <c r="O9" i="4"/>
  <c r="B16" i="5"/>
  <c r="P15" i="5" s="1"/>
  <c r="T56" i="4"/>
  <c r="AT56" i="4" s="1"/>
  <c r="B4" i="8"/>
  <c r="B11" i="5"/>
  <c r="O7" i="5"/>
  <c r="B205" i="2"/>
  <c r="H54" i="1"/>
  <c r="B135" i="2" s="1"/>
  <c r="J49" i="5"/>
  <c r="T70" i="4"/>
  <c r="AT70" i="4" s="1"/>
  <c r="T62" i="4"/>
  <c r="AT62" i="4" s="1"/>
  <c r="T59" i="4"/>
  <c r="AT59" i="4" s="1"/>
  <c r="R110" i="4"/>
  <c r="R111" i="4"/>
  <c r="R130" i="4"/>
  <c r="R118" i="4"/>
  <c r="R112" i="4"/>
  <c r="R88" i="4"/>
  <c r="R109" i="4"/>
  <c r="R91" i="4"/>
  <c r="R90" i="4"/>
  <c r="R98" i="4"/>
  <c r="R89" i="4"/>
  <c r="R82" i="4"/>
  <c r="R80" i="4"/>
  <c r="R92" i="4"/>
  <c r="R10" i="4"/>
  <c r="R139" i="4"/>
  <c r="R138" i="4"/>
  <c r="R140" i="4"/>
  <c r="R137" i="4"/>
  <c r="R78" i="4"/>
  <c r="R136" i="4"/>
  <c r="R134" i="4"/>
  <c r="R79" i="4"/>
  <c r="R117" i="4"/>
  <c r="R116" i="4"/>
  <c r="R63" i="4"/>
  <c r="R115" i="4"/>
  <c r="R114" i="4"/>
  <c r="R76" i="4"/>
  <c r="R113" i="4"/>
  <c r="R102" i="4"/>
  <c r="R75" i="4"/>
  <c r="R133" i="4"/>
  <c r="R101" i="4"/>
  <c r="R74" i="4"/>
  <c r="R7" i="4"/>
  <c r="R132" i="4"/>
  <c r="R100" i="4"/>
  <c r="R157" i="4"/>
  <c r="R131" i="4"/>
  <c r="R99" i="4"/>
  <c r="R64" i="4"/>
  <c r="B19" i="2"/>
  <c r="B139" i="2" s="1"/>
  <c r="R155" i="4"/>
  <c r="R129" i="4"/>
  <c r="R97" i="4"/>
  <c r="R154" i="4"/>
  <c r="R122" i="4"/>
  <c r="R96" i="4"/>
  <c r="R62" i="4"/>
  <c r="R153" i="4"/>
  <c r="R121" i="4"/>
  <c r="R95" i="4"/>
  <c r="R59" i="4"/>
  <c r="R152" i="4"/>
  <c r="R120" i="4"/>
  <c r="R94" i="4"/>
  <c r="R151" i="4"/>
  <c r="R119" i="4"/>
  <c r="R93" i="4"/>
  <c r="B207" i="2"/>
  <c r="B210" i="2" s="1"/>
  <c r="B48" i="5"/>
  <c r="R147" i="4"/>
  <c r="R127" i="4"/>
  <c r="R107" i="4"/>
  <c r="R87" i="4"/>
  <c r="R148" i="4"/>
  <c r="R128" i="4"/>
  <c r="R108" i="4"/>
  <c r="R58" i="4"/>
  <c r="R146" i="4"/>
  <c r="R126" i="4"/>
  <c r="R106" i="4"/>
  <c r="R86" i="4"/>
  <c r="R145" i="4"/>
  <c r="R125" i="4"/>
  <c r="R105" i="4"/>
  <c r="R85" i="4"/>
  <c r="R54" i="4"/>
  <c r="R55" i="4"/>
  <c r="R144" i="4"/>
  <c r="R124" i="4"/>
  <c r="R104" i="4"/>
  <c r="R84" i="4"/>
  <c r="R51" i="4"/>
  <c r="B19" i="5"/>
  <c r="R143" i="4"/>
  <c r="R123" i="4"/>
  <c r="R103" i="4"/>
  <c r="R83" i="4"/>
  <c r="R50" i="4"/>
  <c r="B129" i="2"/>
  <c r="B131" i="2" s="1"/>
  <c r="O8" i="5"/>
  <c r="B127" i="2"/>
  <c r="H48" i="1" s="1"/>
  <c r="B13" i="5"/>
  <c r="B51" i="5"/>
  <c r="B176" i="2"/>
  <c r="B173" i="2"/>
  <c r="AT8" i="4"/>
  <c r="T139" i="4"/>
  <c r="AT139" i="4" s="1"/>
  <c r="T122" i="4"/>
  <c r="AT122" i="4" s="1"/>
  <c r="T138" i="4"/>
  <c r="AT138" i="4" s="1"/>
  <c r="T123" i="4"/>
  <c r="AT123" i="4" s="1"/>
  <c r="T154" i="4"/>
  <c r="AT154" i="4" s="1"/>
  <c r="T151" i="4"/>
  <c r="AT151" i="4" s="1"/>
  <c r="T146" i="4"/>
  <c r="AT146" i="4" s="1"/>
  <c r="T143" i="4"/>
  <c r="AT143" i="4" s="1"/>
  <c r="T134" i="4"/>
  <c r="AT134" i="4" s="1"/>
  <c r="T127" i="4"/>
  <c r="AT127" i="4" s="1"/>
  <c r="T118" i="4"/>
  <c r="AT118" i="4" s="1"/>
  <c r="T100" i="4"/>
  <c r="AT100" i="4" s="1"/>
  <c r="T93" i="4"/>
  <c r="AT93" i="4" s="1"/>
  <c r="T46" i="4"/>
  <c r="AT46" i="4" s="1"/>
  <c r="T40" i="4"/>
  <c r="AT40" i="4" s="1"/>
  <c r="T22" i="4"/>
  <c r="AT22" i="4" s="1"/>
  <c r="T155" i="4"/>
  <c r="AT155" i="4" s="1"/>
  <c r="T150" i="4"/>
  <c r="AT150" i="4" s="1"/>
  <c r="T147" i="4"/>
  <c r="AT147" i="4" s="1"/>
  <c r="T109" i="4"/>
  <c r="AT109" i="4" s="1"/>
  <c r="T84" i="4"/>
  <c r="AT84" i="4" s="1"/>
  <c r="T80" i="4"/>
  <c r="AT80" i="4" s="1"/>
  <c r="T76" i="4"/>
  <c r="AT76" i="4" s="1"/>
  <c r="T43" i="4"/>
  <c r="AT43" i="4" s="1"/>
  <c r="T37" i="4"/>
  <c r="AT37" i="4" s="1"/>
  <c r="T19" i="4"/>
  <c r="AT19" i="4" s="1"/>
  <c r="T7" i="4"/>
  <c r="AT7" i="4" s="1"/>
  <c r="T132" i="4"/>
  <c r="AT132" i="4" s="1"/>
  <c r="T129" i="4"/>
  <c r="AT129" i="4" s="1"/>
  <c r="T116" i="4"/>
  <c r="AT116" i="4" s="1"/>
  <c r="T113" i="4"/>
  <c r="AT113" i="4" s="1"/>
  <c r="T107" i="4"/>
  <c r="AT107" i="4" s="1"/>
  <c r="T91" i="4"/>
  <c r="AT91" i="4" s="1"/>
  <c r="T74" i="4"/>
  <c r="AT74" i="4" s="1"/>
  <c r="T64" i="4"/>
  <c r="AT64" i="4" s="1"/>
  <c r="T51" i="4"/>
  <c r="AT51" i="4" s="1"/>
  <c r="T33" i="4"/>
  <c r="AT33" i="4" s="1"/>
  <c r="T141" i="4"/>
  <c r="AT141" i="4" s="1"/>
  <c r="T136" i="4"/>
  <c r="AT136" i="4" s="1"/>
  <c r="T125" i="4"/>
  <c r="AT125" i="4" s="1"/>
  <c r="T120" i="4"/>
  <c r="AT120" i="4" s="1"/>
  <c r="T102" i="4"/>
  <c r="AT102" i="4" s="1"/>
  <c r="T86" i="4"/>
  <c r="AT86" i="4" s="1"/>
  <c r="T67" i="4"/>
  <c r="AT67" i="4" s="1"/>
  <c r="T54" i="4"/>
  <c r="AT54" i="4" s="1"/>
  <c r="T48" i="4"/>
  <c r="AT48" i="4" s="1"/>
  <c r="T26" i="4"/>
  <c r="AT26" i="4" s="1"/>
  <c r="T15" i="4"/>
  <c r="AT15" i="4" s="1"/>
  <c r="B64" i="5"/>
  <c r="AT56" i="5" s="1"/>
  <c r="B10" i="5"/>
  <c r="B165" i="2"/>
  <c r="B166" i="2" s="1"/>
  <c r="B119" i="2"/>
  <c r="H43" i="1" s="1"/>
  <c r="B63" i="5"/>
  <c r="AZ20" i="5" s="1"/>
  <c r="B58" i="5"/>
  <c r="B65" i="5"/>
  <c r="AW7" i="5" s="1"/>
  <c r="T156" i="4"/>
  <c r="AT156" i="4" s="1"/>
  <c r="T152" i="4"/>
  <c r="AT152" i="4" s="1"/>
  <c r="T148" i="4"/>
  <c r="AT148" i="4" s="1"/>
  <c r="T144" i="4"/>
  <c r="AT144" i="4" s="1"/>
  <c r="T137" i="4"/>
  <c r="AT137" i="4" s="1"/>
  <c r="T135" i="4"/>
  <c r="AT135" i="4" s="1"/>
  <c r="T130" i="4"/>
  <c r="AT130" i="4" s="1"/>
  <c r="T128" i="4"/>
  <c r="AT128" i="4" s="1"/>
  <c r="T121" i="4"/>
  <c r="AT121" i="4" s="1"/>
  <c r="T119" i="4"/>
  <c r="AT119" i="4" s="1"/>
  <c r="T114" i="4"/>
  <c r="AT114" i="4" s="1"/>
  <c r="T112" i="4"/>
  <c r="AT112" i="4" s="1"/>
  <c r="T105" i="4"/>
  <c r="AT105" i="4" s="1"/>
  <c r="T103" i="4"/>
  <c r="AT103" i="4" s="1"/>
  <c r="T98" i="4"/>
  <c r="AT98" i="4" s="1"/>
  <c r="T96" i="4"/>
  <c r="AT96" i="4" s="1"/>
  <c r="T89" i="4"/>
  <c r="AT89" i="4" s="1"/>
  <c r="T87" i="4"/>
  <c r="AT87" i="4" s="1"/>
  <c r="T82" i="4"/>
  <c r="AT82" i="4" s="1"/>
  <c r="T78" i="4"/>
  <c r="AT78" i="4" s="1"/>
  <c r="T73" i="4"/>
  <c r="AT73" i="4" s="1"/>
  <c r="T66" i="4"/>
  <c r="AT66" i="4" s="1"/>
  <c r="T61" i="4"/>
  <c r="AT61" i="4" s="1"/>
  <c r="T53" i="4"/>
  <c r="AT53" i="4" s="1"/>
  <c r="T45" i="4"/>
  <c r="AT45" i="4" s="1"/>
  <c r="T39" i="4"/>
  <c r="AT39" i="4" s="1"/>
  <c r="T36" i="4"/>
  <c r="AT36" i="4" s="1"/>
  <c r="T32" i="4"/>
  <c r="AT32" i="4" s="1"/>
  <c r="T29" i="4"/>
  <c r="AT29" i="4" s="1"/>
  <c r="T25" i="4"/>
  <c r="AT25" i="4" s="1"/>
  <c r="T18" i="4"/>
  <c r="AT18" i="4" s="1"/>
  <c r="T14" i="4"/>
  <c r="AT14" i="4" s="1"/>
  <c r="T11" i="4"/>
  <c r="AT11" i="4" s="1"/>
  <c r="T157" i="4"/>
  <c r="AT157" i="4" s="1"/>
  <c r="T153" i="4"/>
  <c r="AT153" i="4" s="1"/>
  <c r="T149" i="4"/>
  <c r="AT149" i="4" s="1"/>
  <c r="T145" i="4"/>
  <c r="AT145" i="4" s="1"/>
  <c r="T142" i="4"/>
  <c r="AT142" i="4" s="1"/>
  <c r="T140" i="4"/>
  <c r="AT140" i="4" s="1"/>
  <c r="T133" i="4"/>
  <c r="AT133" i="4" s="1"/>
  <c r="T131" i="4"/>
  <c r="AT131" i="4" s="1"/>
  <c r="T126" i="4"/>
  <c r="AT126" i="4" s="1"/>
  <c r="T124" i="4"/>
  <c r="AT124" i="4" s="1"/>
  <c r="T117" i="4"/>
  <c r="AT117" i="4" s="1"/>
  <c r="T115" i="4"/>
  <c r="AT115" i="4" s="1"/>
  <c r="T110" i="4"/>
  <c r="AT110" i="4" s="1"/>
  <c r="T108" i="4"/>
  <c r="AT108" i="4" s="1"/>
  <c r="T101" i="4"/>
  <c r="AT101" i="4" s="1"/>
  <c r="T99" i="4"/>
  <c r="AT99" i="4" s="1"/>
  <c r="T94" i="4"/>
  <c r="AT94" i="4" s="1"/>
  <c r="T92" i="4"/>
  <c r="AT92" i="4" s="1"/>
  <c r="T85" i="4"/>
  <c r="AT85" i="4" s="1"/>
  <c r="T83" i="4"/>
  <c r="AT83" i="4" s="1"/>
  <c r="T81" i="4"/>
  <c r="AT81" i="4" s="1"/>
  <c r="T77" i="4"/>
  <c r="AT77" i="4" s="1"/>
  <c r="T75" i="4"/>
  <c r="AT75" i="4" s="1"/>
  <c r="T72" i="4"/>
  <c r="AT72" i="4" s="1"/>
  <c r="T69" i="4"/>
  <c r="AT69" i="4" s="1"/>
  <c r="T65" i="4"/>
  <c r="AT65" i="4" s="1"/>
  <c r="T63" i="4"/>
  <c r="AT63" i="4" s="1"/>
  <c r="T60" i="4"/>
  <c r="AT60" i="4" s="1"/>
  <c r="T58" i="4"/>
  <c r="AT58" i="4" s="1"/>
  <c r="T55" i="4"/>
  <c r="AT55" i="4" s="1"/>
  <c r="T52" i="4"/>
  <c r="AT52" i="4" s="1"/>
  <c r="T50" i="4"/>
  <c r="AT50" i="4" s="1"/>
  <c r="T47" i="4"/>
  <c r="AT47" i="4" s="1"/>
  <c r="T44" i="4"/>
  <c r="AT44" i="4" s="1"/>
  <c r="T42" i="4"/>
  <c r="AT42" i="4" s="1"/>
  <c r="T38" i="4"/>
  <c r="AT38" i="4" s="1"/>
  <c r="T35" i="4"/>
  <c r="AT35" i="4" s="1"/>
  <c r="T31" i="4"/>
  <c r="AT31" i="4" s="1"/>
  <c r="T28" i="4"/>
  <c r="AT28" i="4" s="1"/>
  <c r="T24" i="4"/>
  <c r="AT24" i="4" s="1"/>
  <c r="T21" i="4"/>
  <c r="AT21" i="4" s="1"/>
  <c r="T17" i="4"/>
  <c r="AT17" i="4" s="1"/>
  <c r="T111" i="4"/>
  <c r="AT111" i="4" s="1"/>
  <c r="T106" i="4"/>
  <c r="AT106" i="4" s="1"/>
  <c r="T104" i="4"/>
  <c r="AT104" i="4" s="1"/>
  <c r="T97" i="4"/>
  <c r="AT97" i="4" s="1"/>
  <c r="T95" i="4"/>
  <c r="AT95" i="4" s="1"/>
  <c r="T90" i="4"/>
  <c r="AT90" i="4" s="1"/>
  <c r="T88" i="4"/>
  <c r="AT88" i="4" s="1"/>
  <c r="T79" i="4"/>
  <c r="AT79" i="4" s="1"/>
  <c r="T71" i="4"/>
  <c r="AT71" i="4" s="1"/>
  <c r="T68" i="4"/>
  <c r="AT68" i="4" s="1"/>
  <c r="T57" i="4"/>
  <c r="AT57" i="4" s="1"/>
  <c r="T49" i="4"/>
  <c r="AT49" i="4" s="1"/>
  <c r="T41" i="4"/>
  <c r="AT41" i="4" s="1"/>
  <c r="T34" i="4"/>
  <c r="AT34" i="4" s="1"/>
  <c r="T30" i="4"/>
  <c r="AT30" i="4" s="1"/>
  <c r="T27" i="4"/>
  <c r="AT27" i="4" s="1"/>
  <c r="T23" i="4"/>
  <c r="AT23" i="4" s="1"/>
  <c r="T20" i="4"/>
  <c r="AT20" i="4" s="1"/>
  <c r="T16" i="4"/>
  <c r="AT16" i="4" s="1"/>
  <c r="T13" i="4"/>
  <c r="AT13" i="4" s="1"/>
  <c r="T10" i="4"/>
  <c r="AT10" i="4" s="1"/>
  <c r="R72" i="4"/>
  <c r="R70" i="4"/>
  <c r="R68" i="4"/>
  <c r="R66" i="4"/>
  <c r="R23" i="4"/>
  <c r="R71" i="4"/>
  <c r="R67" i="4"/>
  <c r="R31" i="4"/>
  <c r="R8" i="4"/>
  <c r="B32" i="2"/>
  <c r="B33" i="2" s="1"/>
  <c r="R38" i="4"/>
  <c r="R33" i="4"/>
  <c r="R25" i="4"/>
  <c r="R17" i="4"/>
  <c r="R12" i="4"/>
  <c r="R40" i="4"/>
  <c r="R35" i="4"/>
  <c r="R27" i="4"/>
  <c r="R19" i="4"/>
  <c r="K8" i="2"/>
  <c r="B199" i="2"/>
  <c r="B200" i="2" s="1"/>
  <c r="T24" i="5"/>
  <c r="U24" i="5" s="1"/>
  <c r="T41" i="5"/>
  <c r="T64" i="5"/>
  <c r="T30" i="5"/>
  <c r="T67" i="5"/>
  <c r="T63" i="5"/>
  <c r="V63" i="5" s="1"/>
  <c r="T57" i="5"/>
  <c r="T105" i="5"/>
  <c r="T106" i="5"/>
  <c r="T117" i="5"/>
  <c r="T131" i="5"/>
  <c r="T114" i="5"/>
  <c r="T146" i="5"/>
  <c r="U146" i="5" s="1"/>
  <c r="T181" i="5"/>
  <c r="V181" i="5" s="1"/>
  <c r="T161" i="5"/>
  <c r="T188" i="5"/>
  <c r="T203" i="5"/>
  <c r="U203" i="5" s="1"/>
  <c r="T211" i="5"/>
  <c r="T223" i="5"/>
  <c r="T150" i="5"/>
  <c r="T199" i="5"/>
  <c r="V199" i="5" s="1"/>
  <c r="T222" i="5"/>
  <c r="U222" i="5" s="1"/>
  <c r="T318" i="5"/>
  <c r="V318" i="5" s="1"/>
  <c r="T334" i="5"/>
  <c r="T276" i="5"/>
  <c r="T44" i="5"/>
  <c r="T26" i="5"/>
  <c r="T39" i="5"/>
  <c r="T34" i="5"/>
  <c r="T33" i="5"/>
  <c r="T92" i="5"/>
  <c r="T94" i="5"/>
  <c r="T107" i="5"/>
  <c r="T85" i="5"/>
  <c r="T101" i="5"/>
  <c r="T87" i="5"/>
  <c r="T156" i="5"/>
  <c r="T115" i="5"/>
  <c r="T152" i="5"/>
  <c r="T133" i="5"/>
  <c r="T170" i="5"/>
  <c r="T172" i="5"/>
  <c r="T185" i="5"/>
  <c r="T194" i="5"/>
  <c r="T215" i="5"/>
  <c r="T224" i="5"/>
  <c r="T245" i="5"/>
  <c r="T212" i="5"/>
  <c r="T229" i="5"/>
  <c r="T241" i="5"/>
  <c r="T254" i="5"/>
  <c r="T135" i="5"/>
  <c r="T251" i="5"/>
  <c r="T284" i="5"/>
  <c r="T299" i="5"/>
  <c r="T316" i="5"/>
  <c r="T261" i="5"/>
  <c r="T293" i="5"/>
  <c r="T356" i="5"/>
  <c r="T364" i="5"/>
  <c r="T381" i="5"/>
  <c r="T415" i="5"/>
  <c r="T429" i="5"/>
  <c r="T341" i="5"/>
  <c r="T375" i="5"/>
  <c r="T407" i="5"/>
  <c r="T324" i="5"/>
  <c r="T443" i="5"/>
  <c r="T478" i="5"/>
  <c r="T499" i="5"/>
  <c r="T513" i="5"/>
  <c r="T532" i="5"/>
  <c r="T347" i="5"/>
  <c r="T438" i="5"/>
  <c r="T29" i="5"/>
  <c r="T58" i="5"/>
  <c r="T81" i="5"/>
  <c r="T102" i="5"/>
  <c r="T90" i="5"/>
  <c r="T113" i="5"/>
  <c r="T147" i="5"/>
  <c r="T163" i="5"/>
  <c r="T158" i="5"/>
  <c r="T164" i="5"/>
  <c r="T238" i="5"/>
  <c r="T192" i="5"/>
  <c r="T249" i="5"/>
  <c r="T295" i="5"/>
  <c r="T332" i="5"/>
  <c r="T231" i="5"/>
  <c r="U231" i="5" s="1"/>
  <c r="T264" i="5"/>
  <c r="T300" i="5"/>
  <c r="V300" i="5" s="1"/>
  <c r="T321" i="5"/>
  <c r="T280" i="5"/>
  <c r="T403" i="5"/>
  <c r="T369" i="5"/>
  <c r="T336" i="5"/>
  <c r="T361" i="5"/>
  <c r="T383" i="5"/>
  <c r="T287" i="5"/>
  <c r="V287" i="5" s="1"/>
  <c r="T448" i="5"/>
  <c r="T516" i="5"/>
  <c r="T475" i="5"/>
  <c r="U475" i="5" s="1"/>
  <c r="T500" i="5"/>
  <c r="T398" i="5"/>
  <c r="T422" i="5"/>
  <c r="T439" i="5"/>
  <c r="T470" i="5"/>
  <c r="T486" i="5"/>
  <c r="T493" i="5"/>
  <c r="T557" i="5"/>
  <c r="T552" i="5"/>
  <c r="T440" i="5"/>
  <c r="T559" i="5"/>
  <c r="T469" i="5"/>
  <c r="T502" i="5"/>
  <c r="T19" i="5"/>
  <c r="T46" i="5"/>
  <c r="T42" i="5"/>
  <c r="T96" i="5"/>
  <c r="T99" i="5"/>
  <c r="T124" i="5"/>
  <c r="T75" i="5"/>
  <c r="T143" i="5"/>
  <c r="T165" i="5"/>
  <c r="T86" i="5"/>
  <c r="T120" i="5"/>
  <c r="T157" i="5"/>
  <c r="T213" i="5"/>
  <c r="T255" i="5"/>
  <c r="T288" i="5"/>
  <c r="T311" i="5"/>
  <c r="T328" i="5"/>
  <c r="T268" i="5"/>
  <c r="T326" i="5"/>
  <c r="T354" i="5"/>
  <c r="T286" i="5"/>
  <c r="T337" i="5"/>
  <c r="T405" i="5"/>
  <c r="T424" i="5"/>
  <c r="T340" i="5"/>
  <c r="T23" i="5"/>
  <c r="T65" i="5"/>
  <c r="T71" i="5"/>
  <c r="T78" i="5"/>
  <c r="T72" i="5"/>
  <c r="T110" i="5"/>
  <c r="T132" i="5"/>
  <c r="T129" i="5"/>
  <c r="T198" i="5"/>
  <c r="T220" i="5"/>
  <c r="T144" i="5"/>
  <c r="T168" i="5"/>
  <c r="T219" i="5"/>
  <c r="T153" i="5"/>
  <c r="T257" i="5"/>
  <c r="T313" i="5"/>
  <c r="V313" i="5" s="1"/>
  <c r="T269" i="5"/>
  <c r="T262" i="5"/>
  <c r="T309" i="5"/>
  <c r="T342" i="5"/>
  <c r="U342" i="5" s="1"/>
  <c r="T366" i="5"/>
  <c r="T390" i="5"/>
  <c r="T410" i="5"/>
  <c r="T418" i="5"/>
  <c r="T275" i="5"/>
  <c r="U275" i="5" s="1"/>
  <c r="T373" i="5"/>
  <c r="T392" i="5"/>
  <c r="T53" i="5"/>
  <c r="T186" i="5"/>
  <c r="T166" i="5"/>
  <c r="T367" i="5"/>
  <c r="T317" i="5"/>
  <c r="T319" i="5"/>
  <c r="T388" i="5"/>
  <c r="T357" i="5"/>
  <c r="T507" i="5"/>
  <c r="T533" i="5"/>
  <c r="T377" i="5"/>
  <c r="T463" i="5"/>
  <c r="T482" i="5"/>
  <c r="T495" i="5"/>
  <c r="U495" i="5" s="1"/>
  <c r="T538" i="5"/>
  <c r="T338" i="5"/>
  <c r="T540" i="5"/>
  <c r="T550" i="5"/>
  <c r="T445" i="5"/>
  <c r="T95" i="5"/>
  <c r="T177" i="5"/>
  <c r="T206" i="5"/>
  <c r="T232" i="5"/>
  <c r="T265" i="5"/>
  <c r="T292" i="5"/>
  <c r="T281" i="5"/>
  <c r="T376" i="5"/>
  <c r="T355" i="5"/>
  <c r="T370" i="5"/>
  <c r="T508" i="5"/>
  <c r="U508" i="5" s="1"/>
  <c r="T496" i="5"/>
  <c r="T517" i="5"/>
  <c r="T358" i="5"/>
  <c r="T487" i="5"/>
  <c r="T506" i="5"/>
  <c r="T556" i="5"/>
  <c r="T346" i="5"/>
  <c r="T529" i="5"/>
  <c r="T541" i="5"/>
  <c r="T426" i="5"/>
  <c r="T553" i="5"/>
  <c r="V553" i="5" s="1"/>
  <c r="T55" i="5"/>
  <c r="T142" i="5"/>
  <c r="T140" i="5"/>
  <c r="T208" i="5"/>
  <c r="T191" i="5"/>
  <c r="T289" i="5"/>
  <c r="T323" i="5"/>
  <c r="T384" i="5"/>
  <c r="U384" i="5" s="1"/>
  <c r="T351" i="5"/>
  <c r="T454" i="5"/>
  <c r="U454" i="5" s="1"/>
  <c r="T474" i="5"/>
  <c r="T501" i="5"/>
  <c r="T519" i="5"/>
  <c r="T360" i="5"/>
  <c r="T401" i="5"/>
  <c r="T489" i="5"/>
  <c r="T510" i="5"/>
  <c r="T352" i="5"/>
  <c r="T534" i="5"/>
  <c r="T544" i="5"/>
  <c r="T530" i="5"/>
  <c r="T479" i="5"/>
  <c r="T436" i="5"/>
  <c r="T432" i="5"/>
  <c r="T427" i="5"/>
  <c r="T521" i="5"/>
  <c r="T461" i="5"/>
  <c r="U461" i="5" s="1"/>
  <c r="T304" i="5"/>
  <c r="T547" i="5"/>
  <c r="T226" i="5"/>
  <c r="T444" i="5"/>
  <c r="T497" i="5"/>
  <c r="T423" i="5"/>
  <c r="T74" i="5"/>
  <c r="T310" i="5"/>
  <c r="T379" i="5"/>
  <c r="T494" i="5"/>
  <c r="T543" i="5"/>
  <c r="T93" i="5"/>
  <c r="T503" i="5"/>
  <c r="T419" i="5"/>
  <c r="T350" i="5"/>
  <c r="T531" i="5"/>
  <c r="B5" i="8"/>
  <c r="E28" i="2"/>
  <c r="B59" i="5"/>
  <c r="G126" i="2"/>
  <c r="B148" i="2"/>
  <c r="V146" i="5"/>
  <c r="B75" i="5"/>
  <c r="AJ56" i="5" s="1"/>
  <c r="R60" i="4"/>
  <c r="R56" i="4"/>
  <c r="R52" i="4"/>
  <c r="R48" i="4"/>
  <c r="R44" i="4"/>
  <c r="R36" i="4"/>
  <c r="R34" i="4"/>
  <c r="R32" i="4"/>
  <c r="R30" i="4"/>
  <c r="R13" i="4"/>
  <c r="R11" i="4"/>
  <c r="R9" i="4"/>
  <c r="R81" i="4"/>
  <c r="R77" i="4"/>
  <c r="R73" i="4"/>
  <c r="R69" i="4"/>
  <c r="R65" i="4"/>
  <c r="R61" i="4"/>
  <c r="R57" i="4"/>
  <c r="R53" i="4"/>
  <c r="R49" i="4"/>
  <c r="R45" i="4"/>
  <c r="R41" i="4"/>
  <c r="R39" i="4"/>
  <c r="R28" i="4"/>
  <c r="R26" i="4"/>
  <c r="R24" i="4"/>
  <c r="R22" i="4"/>
  <c r="R20" i="4"/>
  <c r="R18" i="4"/>
  <c r="R16" i="4"/>
  <c r="R14" i="4"/>
  <c r="B22" i="2"/>
  <c r="AS10" i="4"/>
  <c r="AS34" i="4"/>
  <c r="AS46" i="4"/>
  <c r="AS54" i="4"/>
  <c r="AS58" i="4"/>
  <c r="AS66" i="4"/>
  <c r="AS74" i="4"/>
  <c r="AS82" i="4"/>
  <c r="AS90" i="4"/>
  <c r="AS98" i="4"/>
  <c r="AS102" i="4"/>
  <c r="AS110" i="4"/>
  <c r="AS118" i="4"/>
  <c r="AS126" i="4"/>
  <c r="AS134" i="4"/>
  <c r="AS142" i="4"/>
  <c r="AS150" i="4"/>
  <c r="AS7" i="4"/>
  <c r="AS148" i="4"/>
  <c r="AS11" i="4"/>
  <c r="AS15" i="4"/>
  <c r="AS19" i="4"/>
  <c r="AS23" i="4"/>
  <c r="AS27" i="4"/>
  <c r="AS31" i="4"/>
  <c r="AS35" i="4"/>
  <c r="AS39" i="4"/>
  <c r="AS43" i="4"/>
  <c r="AS47" i="4"/>
  <c r="AS51" i="4"/>
  <c r="AS55" i="4"/>
  <c r="AS59" i="4"/>
  <c r="AS63" i="4"/>
  <c r="AS67" i="4"/>
  <c r="AS71" i="4"/>
  <c r="AS75" i="4"/>
  <c r="AS79" i="4"/>
  <c r="AS83" i="4"/>
  <c r="AS87" i="4"/>
  <c r="AS91" i="4"/>
  <c r="AS95" i="4"/>
  <c r="AS99" i="4"/>
  <c r="AS103" i="4"/>
  <c r="AS107" i="4"/>
  <c r="AS111" i="4"/>
  <c r="AS115" i="4"/>
  <c r="AS119" i="4"/>
  <c r="AS123" i="4"/>
  <c r="AS127" i="4"/>
  <c r="AS131" i="4"/>
  <c r="AS135" i="4"/>
  <c r="AS139" i="4"/>
  <c r="AS143" i="4"/>
  <c r="AS147" i="4"/>
  <c r="AS151" i="4"/>
  <c r="AS155" i="4"/>
  <c r="AS12" i="4"/>
  <c r="AS16" i="4"/>
  <c r="AS20" i="4"/>
  <c r="AS24" i="4"/>
  <c r="AS28" i="4"/>
  <c r="AS36" i="4"/>
  <c r="AS40" i="4"/>
  <c r="AS48" i="4"/>
  <c r="AS56" i="4"/>
  <c r="AS60" i="4"/>
  <c r="AS68" i="4"/>
  <c r="AS76" i="4"/>
  <c r="AS84" i="4"/>
  <c r="AS88" i="4"/>
  <c r="AS96" i="4"/>
  <c r="AS104" i="4"/>
  <c r="AS108" i="4"/>
  <c r="AS116" i="4"/>
  <c r="AS124" i="4"/>
  <c r="AS128" i="4"/>
  <c r="AS136" i="4"/>
  <c r="AS152" i="4"/>
  <c r="AS8" i="4"/>
  <c r="AS32" i="4"/>
  <c r="AS44" i="4"/>
  <c r="AS52" i="4"/>
  <c r="AS64" i="4"/>
  <c r="AS72" i="4"/>
  <c r="AS80" i="4"/>
  <c r="AS92" i="4"/>
  <c r="AS100" i="4"/>
  <c r="AS112" i="4"/>
  <c r="AS120" i="4"/>
  <c r="AS132" i="4"/>
  <c r="AS144" i="4"/>
  <c r="AS9" i="4"/>
  <c r="AS13" i="4"/>
  <c r="AS17" i="4"/>
  <c r="AS21" i="4"/>
  <c r="AS25" i="4"/>
  <c r="AS29" i="4"/>
  <c r="AS33" i="4"/>
  <c r="AS37" i="4"/>
  <c r="AS41" i="4"/>
  <c r="AS45" i="4"/>
  <c r="AS49" i="4"/>
  <c r="AS53" i="4"/>
  <c r="AS57" i="4"/>
  <c r="AS61" i="4"/>
  <c r="AS65" i="4"/>
  <c r="AS69" i="4"/>
  <c r="AS73" i="4"/>
  <c r="AS77" i="4"/>
  <c r="AS81" i="4"/>
  <c r="AS85" i="4"/>
  <c r="AS89" i="4"/>
  <c r="AS93" i="4"/>
  <c r="AS97" i="4"/>
  <c r="AS101" i="4"/>
  <c r="AS105" i="4"/>
  <c r="AS109" i="4"/>
  <c r="AS113" i="4"/>
  <c r="AS117" i="4"/>
  <c r="AS121" i="4"/>
  <c r="AS125" i="4"/>
  <c r="AS129" i="4"/>
  <c r="AS133" i="4"/>
  <c r="AS137" i="4"/>
  <c r="AS141" i="4"/>
  <c r="AS145" i="4"/>
  <c r="AS149" i="4"/>
  <c r="AS153" i="4"/>
  <c r="AS157" i="4"/>
  <c r="AS14" i="4"/>
  <c r="AS18" i="4"/>
  <c r="AS22" i="4"/>
  <c r="AS26" i="4"/>
  <c r="AS30" i="4"/>
  <c r="AS38" i="4"/>
  <c r="AS42" i="4"/>
  <c r="AS50" i="4"/>
  <c r="AS62" i="4"/>
  <c r="AS70" i="4"/>
  <c r="AS78" i="4"/>
  <c r="AS86" i="4"/>
  <c r="AS94" i="4"/>
  <c r="AS106" i="4"/>
  <c r="AS114" i="4"/>
  <c r="AS122" i="4"/>
  <c r="AS130" i="4"/>
  <c r="AS138" i="4"/>
  <c r="AS146" i="4"/>
  <c r="AS154" i="4"/>
  <c r="AS140" i="4"/>
  <c r="AS156" i="4"/>
  <c r="T477" i="5" l="1"/>
  <c r="T473" i="5"/>
  <c r="U473" i="5" s="1"/>
  <c r="T27" i="5"/>
  <c r="T393" i="5"/>
  <c r="T446" i="5"/>
  <c r="T372" i="5"/>
  <c r="U372" i="5" s="1"/>
  <c r="T167" i="5"/>
  <c r="T305" i="5"/>
  <c r="T62" i="5"/>
  <c r="T368" i="5"/>
  <c r="T325" i="5"/>
  <c r="T498" i="5"/>
  <c r="T345" i="5"/>
  <c r="T205" i="5"/>
  <c r="T70" i="5"/>
  <c r="T201" i="5"/>
  <c r="U201" i="5" s="1"/>
  <c r="T43" i="5"/>
  <c r="V43" i="5" s="1"/>
  <c r="T374" i="5"/>
  <c r="V374" i="5" s="1"/>
  <c r="T434" i="5"/>
  <c r="V434" i="5" s="1"/>
  <c r="T520" i="5"/>
  <c r="U520" i="5" s="1"/>
  <c r="T267" i="5"/>
  <c r="T416" i="5"/>
  <c r="T297" i="5"/>
  <c r="T104" i="5"/>
  <c r="T290" i="5"/>
  <c r="U290" i="5" s="1"/>
  <c r="T48" i="5"/>
  <c r="T522" i="5"/>
  <c r="V522" i="5" s="1"/>
  <c r="T302" i="5"/>
  <c r="T456" i="5"/>
  <c r="T283" i="5"/>
  <c r="T196" i="5"/>
  <c r="T47" i="5"/>
  <c r="T183" i="5"/>
  <c r="V183" i="5" s="1"/>
  <c r="T32" i="5"/>
  <c r="V32" i="5" s="1"/>
  <c r="T8" i="5"/>
  <c r="T327" i="5"/>
  <c r="T452" i="5"/>
  <c r="U452" i="5" s="1"/>
  <c r="T343" i="5"/>
  <c r="V343" i="5" s="1"/>
  <c r="T49" i="5"/>
  <c r="U49" i="5" s="1"/>
  <c r="T490" i="5"/>
  <c r="U490" i="5" s="1"/>
  <c r="T128" i="5"/>
  <c r="T322" i="5"/>
  <c r="T235" i="5"/>
  <c r="U235" i="5" s="1"/>
  <c r="T413" i="5"/>
  <c r="T119" i="5"/>
  <c r="T391" i="5"/>
  <c r="T425" i="5"/>
  <c r="U425" i="5" s="1"/>
  <c r="T551" i="5"/>
  <c r="T259" i="5"/>
  <c r="T314" i="5"/>
  <c r="T45" i="5"/>
  <c r="T197" i="5"/>
  <c r="T536" i="5"/>
  <c r="T396" i="5"/>
  <c r="V396" i="5" s="1"/>
  <c r="T148" i="5"/>
  <c r="T348" i="5"/>
  <c r="T306" i="5"/>
  <c r="T84" i="5"/>
  <c r="U84" i="5" s="1"/>
  <c r="T207" i="5"/>
  <c r="U207" i="5" s="1"/>
  <c r="T121" i="5"/>
  <c r="U121" i="5" s="1"/>
  <c r="T273" i="5"/>
  <c r="T155" i="5"/>
  <c r="T539" i="5"/>
  <c r="V539" i="5" s="1"/>
  <c r="T365" i="5"/>
  <c r="T449" i="5"/>
  <c r="T244" i="5"/>
  <c r="T218" i="5"/>
  <c r="U218" i="5" s="1"/>
  <c r="T228" i="5"/>
  <c r="T411" i="5"/>
  <c r="T109" i="5"/>
  <c r="T136" i="5"/>
  <c r="U136" i="5" s="1"/>
  <c r="T483" i="5"/>
  <c r="T523" i="5"/>
  <c r="T298" i="5"/>
  <c r="T395" i="5"/>
  <c r="T412" i="5"/>
  <c r="U412" i="5" s="1"/>
  <c r="T248" i="5"/>
  <c r="U248" i="5" s="1"/>
  <c r="T278" i="5"/>
  <c r="U278" i="5" s="1"/>
  <c r="T21" i="5"/>
  <c r="V21" i="5" s="1"/>
  <c r="T175" i="5"/>
  <c r="V175" i="5" s="1"/>
  <c r="T344" i="5"/>
  <c r="T380" i="5"/>
  <c r="T116" i="5"/>
  <c r="T195" i="5"/>
  <c r="T282" i="5"/>
  <c r="T126" i="5"/>
  <c r="T174" i="5"/>
  <c r="V174" i="5" s="1"/>
  <c r="T37" i="5"/>
  <c r="V37" i="5" s="1"/>
  <c r="T464" i="5"/>
  <c r="U464" i="5" s="1"/>
  <c r="T389" i="5"/>
  <c r="T217" i="5"/>
  <c r="T371" i="5"/>
  <c r="T200" i="5"/>
  <c r="T535" i="5"/>
  <c r="T472" i="5"/>
  <c r="T266" i="5"/>
  <c r="T51" i="5"/>
  <c r="V51" i="5" s="1"/>
  <c r="T214" i="5"/>
  <c r="U214" i="5" s="1"/>
  <c r="T274" i="5"/>
  <c r="V274" i="5" s="1"/>
  <c r="T123" i="5"/>
  <c r="U123" i="5" s="1"/>
  <c r="T250" i="5"/>
  <c r="T134" i="5"/>
  <c r="T22" i="5"/>
  <c r="U22" i="5" s="1"/>
  <c r="U63" i="5"/>
  <c r="T227" i="5"/>
  <c r="V227" i="5" s="1"/>
  <c r="T397" i="5"/>
  <c r="U397" i="5" s="1"/>
  <c r="T312" i="5"/>
  <c r="U312" i="5" s="1"/>
  <c r="T467" i="5"/>
  <c r="V467" i="5" s="1"/>
  <c r="T112" i="5"/>
  <c r="T441" i="5"/>
  <c r="T433" i="5"/>
  <c r="T202" i="5"/>
  <c r="T362" i="5"/>
  <c r="V362" i="5" s="1"/>
  <c r="T182" i="5"/>
  <c r="V182" i="5" s="1"/>
  <c r="T524" i="5"/>
  <c r="T404" i="5"/>
  <c r="T270" i="5"/>
  <c r="T480" i="5"/>
  <c r="U480" i="5" s="1"/>
  <c r="T400" i="5"/>
  <c r="V400" i="5" s="1"/>
  <c r="T180" i="5"/>
  <c r="V180" i="5" s="1"/>
  <c r="T139" i="5"/>
  <c r="T279" i="5"/>
  <c r="U279" i="5" s="1"/>
  <c r="T151" i="5"/>
  <c r="V151" i="5" s="1"/>
  <c r="T38" i="5"/>
  <c r="V38" i="5" s="1"/>
  <c r="T435" i="5"/>
  <c r="T36" i="5"/>
  <c r="U36" i="5" s="1"/>
  <c r="T455" i="5"/>
  <c r="U455" i="5" s="1"/>
  <c r="T88" i="5"/>
  <c r="U88" i="5" s="1"/>
  <c r="T447" i="5"/>
  <c r="T484" i="5"/>
  <c r="U484" i="5" s="1"/>
  <c r="T258" i="5"/>
  <c r="T160" i="5"/>
  <c r="T97" i="5"/>
  <c r="T253" i="5"/>
  <c r="V253" i="5" s="1"/>
  <c r="T68" i="5"/>
  <c r="T457" i="5"/>
  <c r="T421" i="5"/>
  <c r="U421" i="5" s="1"/>
  <c r="T122" i="5"/>
  <c r="V122" i="5" s="1"/>
  <c r="T458" i="5"/>
  <c r="V458" i="5" s="1"/>
  <c r="T246" i="5"/>
  <c r="U246" i="5" s="1"/>
  <c r="T204" i="5"/>
  <c r="T35" i="5"/>
  <c r="U35" i="5" s="1"/>
  <c r="T239" i="5"/>
  <c r="V239" i="5" s="1"/>
  <c r="T83" i="5"/>
  <c r="U83" i="5" s="1"/>
  <c r="AT66" i="5"/>
  <c r="AT43" i="5"/>
  <c r="T7" i="5"/>
  <c r="V7" i="5" s="1"/>
  <c r="T512" i="5"/>
  <c r="V512" i="5" s="1"/>
  <c r="T437" i="5"/>
  <c r="T233" i="5"/>
  <c r="T77" i="5"/>
  <c r="V77" i="5" s="1"/>
  <c r="T428" i="5"/>
  <c r="T315" i="5"/>
  <c r="T263" i="5"/>
  <c r="U263" i="5" s="1"/>
  <c r="T100" i="5"/>
  <c r="T69" i="5"/>
  <c r="T301" i="5"/>
  <c r="V301" i="5" s="1"/>
  <c r="T190" i="5"/>
  <c r="U190" i="5" s="1"/>
  <c r="T91" i="5"/>
  <c r="B46" i="5"/>
  <c r="U539" i="5"/>
  <c r="U313" i="5"/>
  <c r="T515" i="5"/>
  <c r="V515" i="5" s="1"/>
  <c r="T50" i="5"/>
  <c r="V50" i="5" s="1"/>
  <c r="T125" i="5"/>
  <c r="V125" i="5" s="1"/>
  <c r="T330" i="5"/>
  <c r="U330" i="5" s="1"/>
  <c r="T179" i="5"/>
  <c r="V179" i="5" s="1"/>
  <c r="T272" i="5"/>
  <c r="T237" i="5"/>
  <c r="T127" i="5"/>
  <c r="T406" i="5"/>
  <c r="T462" i="5"/>
  <c r="U462" i="5" s="1"/>
  <c r="T378" i="5"/>
  <c r="V378" i="5" s="1"/>
  <c r="T193" i="5"/>
  <c r="T54" i="5"/>
  <c r="T399" i="5"/>
  <c r="U399" i="5" s="1"/>
  <c r="T335" i="5"/>
  <c r="V335" i="5" s="1"/>
  <c r="T236" i="5"/>
  <c r="U236" i="5" s="1"/>
  <c r="T187" i="5"/>
  <c r="V187" i="5" s="1"/>
  <c r="T61" i="5"/>
  <c r="U61" i="5" s="1"/>
  <c r="T260" i="5"/>
  <c r="U260" i="5" s="1"/>
  <c r="T79" i="5"/>
  <c r="V79" i="5" s="1"/>
  <c r="T98" i="5"/>
  <c r="V98" i="5" s="1"/>
  <c r="T459" i="5"/>
  <c r="U459" i="5" s="1"/>
  <c r="T548" i="5"/>
  <c r="V548" i="5" s="1"/>
  <c r="T460" i="5"/>
  <c r="U460" i="5" s="1"/>
  <c r="T527" i="5"/>
  <c r="U527" i="5" s="1"/>
  <c r="T491" i="5"/>
  <c r="V491" i="5" s="1"/>
  <c r="T558" i="5"/>
  <c r="T453" i="5"/>
  <c r="V453" i="5" s="1"/>
  <c r="T28" i="5"/>
  <c r="T511" i="5"/>
  <c r="U511" i="5" s="1"/>
  <c r="T141" i="5"/>
  <c r="V141" i="5" s="1"/>
  <c r="T307" i="5"/>
  <c r="T184" i="5"/>
  <c r="U184" i="5" s="1"/>
  <c r="T409" i="5"/>
  <c r="U409" i="5" s="1"/>
  <c r="T308" i="5"/>
  <c r="V308" i="5" s="1"/>
  <c r="T108" i="5"/>
  <c r="U108" i="5" s="1"/>
  <c r="T554" i="5"/>
  <c r="U554" i="5" s="1"/>
  <c r="T442" i="5"/>
  <c r="V442" i="5" s="1"/>
  <c r="T359" i="5"/>
  <c r="U359" i="5" s="1"/>
  <c r="T234" i="5"/>
  <c r="V234" i="5" s="1"/>
  <c r="T40" i="5"/>
  <c r="V40" i="5" s="1"/>
  <c r="T382" i="5"/>
  <c r="U382" i="5" s="1"/>
  <c r="T320" i="5"/>
  <c r="U320" i="5" s="1"/>
  <c r="T225" i="5"/>
  <c r="V225" i="5" s="1"/>
  <c r="T173" i="5"/>
  <c r="U173" i="5" s="1"/>
  <c r="T80" i="5"/>
  <c r="U80" i="5" s="1"/>
  <c r="T252" i="5"/>
  <c r="T169" i="5"/>
  <c r="T82" i="5"/>
  <c r="U82" i="5" s="1"/>
  <c r="T417" i="5"/>
  <c r="T230" i="5"/>
  <c r="T555" i="5"/>
  <c r="U555" i="5" s="1"/>
  <c r="T476" i="5"/>
  <c r="T471" i="5"/>
  <c r="U471" i="5" s="1"/>
  <c r="T333" i="5"/>
  <c r="U333" i="5" s="1"/>
  <c r="T525" i="5"/>
  <c r="U525" i="5" s="1"/>
  <c r="T162" i="5"/>
  <c r="U162" i="5" s="1"/>
  <c r="T450" i="5"/>
  <c r="V450" i="5" s="1"/>
  <c r="T451" i="5"/>
  <c r="T528" i="5"/>
  <c r="U528" i="5" s="1"/>
  <c r="T537" i="5"/>
  <c r="U537" i="5" s="1"/>
  <c r="T509" i="5"/>
  <c r="T485" i="5"/>
  <c r="U485" i="5" s="1"/>
  <c r="T25" i="5"/>
  <c r="U25" i="5" s="1"/>
  <c r="T296" i="5"/>
  <c r="V296" i="5" s="1"/>
  <c r="T111" i="5"/>
  <c r="T385" i="5"/>
  <c r="U385" i="5" s="1"/>
  <c r="T277" i="5"/>
  <c r="T60" i="5"/>
  <c r="T545" i="5"/>
  <c r="U545" i="5" s="1"/>
  <c r="T339" i="5"/>
  <c r="U339" i="5" s="1"/>
  <c r="T329" i="5"/>
  <c r="U329" i="5" s="1"/>
  <c r="T209" i="5"/>
  <c r="T31" i="5"/>
  <c r="V31" i="5" s="1"/>
  <c r="T363" i="5"/>
  <c r="U363" i="5" s="1"/>
  <c r="T303" i="5"/>
  <c r="V303" i="5" s="1"/>
  <c r="T210" i="5"/>
  <c r="U210" i="5" s="1"/>
  <c r="T149" i="5"/>
  <c r="V149" i="5" s="1"/>
  <c r="T66" i="5"/>
  <c r="V66" i="5" s="1"/>
  <c r="T176" i="5"/>
  <c r="V176" i="5" s="1"/>
  <c r="T118" i="5"/>
  <c r="U118" i="5" s="1"/>
  <c r="T89" i="5"/>
  <c r="V461" i="5"/>
  <c r="V231" i="5"/>
  <c r="V464" i="5"/>
  <c r="T488" i="5"/>
  <c r="U488" i="5" s="1"/>
  <c r="T154" i="5"/>
  <c r="T546" i="5"/>
  <c r="T408" i="5"/>
  <c r="T518" i="5"/>
  <c r="V518" i="5" s="1"/>
  <c r="T481" i="5"/>
  <c r="U481" i="5" s="1"/>
  <c r="T549" i="5"/>
  <c r="V549" i="5" s="1"/>
  <c r="T431" i="5"/>
  <c r="U431" i="5" s="1"/>
  <c r="T414" i="5"/>
  <c r="U414" i="5" s="1"/>
  <c r="T256" i="5"/>
  <c r="V256" i="5" s="1"/>
  <c r="T145" i="5"/>
  <c r="V145" i="5" s="1"/>
  <c r="T247" i="5"/>
  <c r="V247" i="5" s="1"/>
  <c r="T240" i="5"/>
  <c r="V240" i="5" s="1"/>
  <c r="T73" i="5"/>
  <c r="V73" i="5" s="1"/>
  <c r="T465" i="5"/>
  <c r="U465" i="5" s="1"/>
  <c r="T505" i="5"/>
  <c r="U505" i="5" s="1"/>
  <c r="T349" i="5"/>
  <c r="U349" i="5" s="1"/>
  <c r="T189" i="5"/>
  <c r="U189" i="5" s="1"/>
  <c r="T504" i="5"/>
  <c r="U504" i="5" s="1"/>
  <c r="T294" i="5"/>
  <c r="U294" i="5" s="1"/>
  <c r="T271" i="5"/>
  <c r="T243" i="5"/>
  <c r="T138" i="5"/>
  <c r="T59" i="5"/>
  <c r="V59" i="5" s="1"/>
  <c r="T221" i="5"/>
  <c r="U221" i="5" s="1"/>
  <c r="T171" i="5"/>
  <c r="T76" i="5"/>
  <c r="U76" i="5" s="1"/>
  <c r="U199" i="5"/>
  <c r="V473" i="5"/>
  <c r="U300" i="5"/>
  <c r="T492" i="5"/>
  <c r="U492" i="5" s="1"/>
  <c r="T394" i="5"/>
  <c r="U394" i="5" s="1"/>
  <c r="T560" i="5"/>
  <c r="V560" i="5" s="1"/>
  <c r="T420" i="5"/>
  <c r="V420" i="5" s="1"/>
  <c r="T542" i="5"/>
  <c r="V542" i="5" s="1"/>
  <c r="T402" i="5"/>
  <c r="U402" i="5" s="1"/>
  <c r="T514" i="5"/>
  <c r="V514" i="5" s="1"/>
  <c r="T466" i="5"/>
  <c r="U466" i="5" s="1"/>
  <c r="T353" i="5"/>
  <c r="U353" i="5" s="1"/>
  <c r="T291" i="5"/>
  <c r="V291" i="5" s="1"/>
  <c r="T103" i="5"/>
  <c r="T387" i="5"/>
  <c r="T216" i="5"/>
  <c r="T20" i="5"/>
  <c r="T526" i="5"/>
  <c r="T430" i="5"/>
  <c r="U430" i="5" s="1"/>
  <c r="T285" i="5"/>
  <c r="T178" i="5"/>
  <c r="V178" i="5" s="1"/>
  <c r="T468" i="5"/>
  <c r="U468" i="5" s="1"/>
  <c r="T386" i="5"/>
  <c r="V386" i="5" s="1"/>
  <c r="T331" i="5"/>
  <c r="V331" i="5" s="1"/>
  <c r="T159" i="5"/>
  <c r="V159" i="5" s="1"/>
  <c r="T137" i="5"/>
  <c r="U137" i="5" s="1"/>
  <c r="T52" i="5"/>
  <c r="V52" i="5" s="1"/>
  <c r="T242" i="5"/>
  <c r="U242" i="5" s="1"/>
  <c r="T130" i="5"/>
  <c r="U130" i="5" s="1"/>
  <c r="AT93" i="5"/>
  <c r="AV93" i="5" s="1"/>
  <c r="AZ194" i="5"/>
  <c r="AT29" i="5"/>
  <c r="AT54" i="5"/>
  <c r="AT61" i="5"/>
  <c r="AZ211" i="5"/>
  <c r="AZ196" i="5"/>
  <c r="AT246" i="5"/>
  <c r="AU246" i="5" s="1"/>
  <c r="AT191" i="5"/>
  <c r="AV191" i="5" s="1"/>
  <c r="AT273" i="5"/>
  <c r="AU273" i="5" s="1"/>
  <c r="AT248" i="5"/>
  <c r="AU248" i="5" s="1"/>
  <c r="AT233" i="5"/>
  <c r="AU233" i="5" s="1"/>
  <c r="AT198" i="5"/>
  <c r="AU198" i="5" s="1"/>
  <c r="AZ173" i="5"/>
  <c r="BB173" i="5" s="1"/>
  <c r="AT7" i="5"/>
  <c r="AV7" i="5" s="1"/>
  <c r="AT218" i="5"/>
  <c r="AU218" i="5" s="1"/>
  <c r="AT183" i="5"/>
  <c r="AV183" i="5" s="1"/>
  <c r="AT175" i="5"/>
  <c r="AV175" i="5" s="1"/>
  <c r="AT84" i="5"/>
  <c r="AV84" i="5" s="1"/>
  <c r="AT165" i="5"/>
  <c r="AV165" i="5" s="1"/>
  <c r="AT156" i="5"/>
  <c r="AU156" i="5" s="1"/>
  <c r="AZ171" i="5"/>
  <c r="AT46" i="5"/>
  <c r="AV46" i="5" s="1"/>
  <c r="AZ190" i="5"/>
  <c r="AT153" i="5"/>
  <c r="AT115" i="5"/>
  <c r="AV115" i="5" s="1"/>
  <c r="AT39" i="5"/>
  <c r="AV39" i="5" s="1"/>
  <c r="AZ164" i="5"/>
  <c r="AT130" i="5"/>
  <c r="AU130" i="5" s="1"/>
  <c r="AT102" i="5"/>
  <c r="AU102" i="5" s="1"/>
  <c r="AT30" i="5"/>
  <c r="AV30" i="5" s="1"/>
  <c r="AT311" i="5"/>
  <c r="AU311" i="5" s="1"/>
  <c r="AT237" i="5"/>
  <c r="AU237" i="5" s="1"/>
  <c r="AT229" i="5"/>
  <c r="AU229" i="5" s="1"/>
  <c r="AT111" i="5"/>
  <c r="AV111" i="5" s="1"/>
  <c r="AT89" i="5"/>
  <c r="AU89" i="5" s="1"/>
  <c r="AT52" i="5"/>
  <c r="AU52" i="5" s="1"/>
  <c r="AZ152" i="5"/>
  <c r="BB152" i="5" s="1"/>
  <c r="AT271" i="5"/>
  <c r="AU271" i="5" s="1"/>
  <c r="AZ158" i="5"/>
  <c r="BA158" i="5" s="1"/>
  <c r="AT295" i="5"/>
  <c r="AV295" i="5" s="1"/>
  <c r="AT286" i="5"/>
  <c r="AT249" i="5"/>
  <c r="AT324" i="5"/>
  <c r="AV324" i="5" s="1"/>
  <c r="AT91" i="5"/>
  <c r="AV91" i="5" s="1"/>
  <c r="AT62" i="5"/>
  <c r="AU62" i="5" s="1"/>
  <c r="AZ116" i="5"/>
  <c r="AZ140" i="5"/>
  <c r="AZ59" i="5"/>
  <c r="AZ60" i="5"/>
  <c r="AZ50" i="5"/>
  <c r="BB50" i="5" s="1"/>
  <c r="AZ35" i="5"/>
  <c r="BB35" i="5" s="1"/>
  <c r="AZ27" i="5"/>
  <c r="AZ40" i="5"/>
  <c r="BB40" i="5" s="1"/>
  <c r="AZ22" i="5"/>
  <c r="BB22" i="5" s="1"/>
  <c r="AZ218" i="5"/>
  <c r="BA218" i="5" s="1"/>
  <c r="AZ324" i="5"/>
  <c r="BA324" i="5" s="1"/>
  <c r="AZ299" i="5"/>
  <c r="BA299" i="5" s="1"/>
  <c r="AZ312" i="5"/>
  <c r="BA312" i="5" s="1"/>
  <c r="AZ315" i="5"/>
  <c r="BB315" i="5" s="1"/>
  <c r="AZ265" i="5"/>
  <c r="AZ127" i="5"/>
  <c r="AZ126" i="5"/>
  <c r="BA126" i="5" s="1"/>
  <c r="AZ95" i="5"/>
  <c r="AZ24" i="5"/>
  <c r="AZ393" i="5"/>
  <c r="AZ255" i="5"/>
  <c r="AZ278" i="5"/>
  <c r="AZ290" i="5"/>
  <c r="AZ318" i="5"/>
  <c r="AZ148" i="5"/>
  <c r="BB148" i="5" s="1"/>
  <c r="AZ135" i="5"/>
  <c r="BA135" i="5" s="1"/>
  <c r="AZ110" i="5"/>
  <c r="BA110" i="5" s="1"/>
  <c r="AZ69" i="5"/>
  <c r="BA69" i="5" s="1"/>
  <c r="AZ66" i="5"/>
  <c r="BB66" i="5" s="1"/>
  <c r="AZ305" i="5"/>
  <c r="BA305" i="5" s="1"/>
  <c r="AZ296" i="5"/>
  <c r="BB296" i="5" s="1"/>
  <c r="AZ303" i="5"/>
  <c r="BA303" i="5" s="1"/>
  <c r="AZ264" i="5"/>
  <c r="BA264" i="5" s="1"/>
  <c r="AZ150" i="5"/>
  <c r="BA150" i="5" s="1"/>
  <c r="AZ123" i="5"/>
  <c r="AZ121" i="5"/>
  <c r="AZ23" i="5"/>
  <c r="BB23" i="5" s="1"/>
  <c r="AZ220" i="5"/>
  <c r="AZ246" i="5"/>
  <c r="AZ200" i="5"/>
  <c r="AZ139" i="5"/>
  <c r="AZ98" i="5"/>
  <c r="AZ91" i="5"/>
  <c r="AZ55" i="5"/>
  <c r="BA55" i="5" s="1"/>
  <c r="AZ249" i="5"/>
  <c r="BB249" i="5" s="1"/>
  <c r="AZ161" i="5"/>
  <c r="BA161" i="5" s="1"/>
  <c r="AZ184" i="5"/>
  <c r="BB184" i="5" s="1"/>
  <c r="AZ212" i="5"/>
  <c r="BB212" i="5" s="1"/>
  <c r="B130" i="2"/>
  <c r="H50" i="1"/>
  <c r="V454" i="5"/>
  <c r="V279" i="5"/>
  <c r="V136" i="5"/>
  <c r="V203" i="5"/>
  <c r="V495" i="5"/>
  <c r="V342" i="5"/>
  <c r="V24" i="5"/>
  <c r="V290" i="5"/>
  <c r="B140" i="2"/>
  <c r="B141" i="2"/>
  <c r="B138" i="2"/>
  <c r="H56" i="1"/>
  <c r="AJ84" i="5"/>
  <c r="AJ147" i="5"/>
  <c r="AT38" i="5"/>
  <c r="AV38" i="5" s="1"/>
  <c r="AT44" i="5"/>
  <c r="AU44" i="5" s="1"/>
  <c r="AT32" i="5"/>
  <c r="AV32" i="5" s="1"/>
  <c r="AT328" i="5"/>
  <c r="AV328" i="5" s="1"/>
  <c r="AT276" i="5"/>
  <c r="AU276" i="5" s="1"/>
  <c r="AT314" i="5"/>
  <c r="AV314" i="5" s="1"/>
  <c r="AT257" i="5"/>
  <c r="AV257" i="5" s="1"/>
  <c r="AT221" i="5"/>
  <c r="AV221" i="5" s="1"/>
  <c r="AT211" i="5"/>
  <c r="AV211" i="5" s="1"/>
  <c r="AT176" i="5"/>
  <c r="AT160" i="5"/>
  <c r="AV160" i="5" s="1"/>
  <c r="AT131" i="5"/>
  <c r="AV131" i="5" s="1"/>
  <c r="AT135" i="5"/>
  <c r="AV135" i="5" s="1"/>
  <c r="AT118" i="5"/>
  <c r="AU118" i="5" s="1"/>
  <c r="AT141" i="5"/>
  <c r="AU141" i="5" s="1"/>
  <c r="AT79" i="5"/>
  <c r="AU79" i="5" s="1"/>
  <c r="AT78" i="5"/>
  <c r="AU78" i="5" s="1"/>
  <c r="AT23" i="5"/>
  <c r="AU23" i="5" s="1"/>
  <c r="AT25" i="5"/>
  <c r="AV25" i="5" s="1"/>
  <c r="AT335" i="5"/>
  <c r="AU335" i="5" s="1"/>
  <c r="AT259" i="5"/>
  <c r="AU259" i="5" s="1"/>
  <c r="AT297" i="5"/>
  <c r="AU297" i="5" s="1"/>
  <c r="AT205" i="5"/>
  <c r="AU205" i="5" s="1"/>
  <c r="AT280" i="5"/>
  <c r="AV280" i="5" s="1"/>
  <c r="AT238" i="5"/>
  <c r="AV238" i="5" s="1"/>
  <c r="AT243" i="5"/>
  <c r="AU243" i="5" s="1"/>
  <c r="AT234" i="5"/>
  <c r="AU234" i="5" s="1"/>
  <c r="AT189" i="5"/>
  <c r="AV189" i="5" s="1"/>
  <c r="AT181" i="5"/>
  <c r="AU181" i="5" s="1"/>
  <c r="AT173" i="5"/>
  <c r="AT138" i="5"/>
  <c r="AT126" i="5"/>
  <c r="AU126" i="5" s="1"/>
  <c r="AT83" i="5"/>
  <c r="AV83" i="5" s="1"/>
  <c r="AT87" i="5"/>
  <c r="AV87" i="5" s="1"/>
  <c r="AT22" i="5"/>
  <c r="AU22" i="5" s="1"/>
  <c r="AT64" i="5"/>
  <c r="AV64" i="5" s="1"/>
  <c r="AT31" i="5"/>
  <c r="AU31" i="5" s="1"/>
  <c r="AT36" i="5"/>
  <c r="AU36" i="5" s="1"/>
  <c r="AT24" i="5"/>
  <c r="AV24" i="5" s="1"/>
  <c r="AT28" i="5"/>
  <c r="AV28" i="5" s="1"/>
  <c r="AT316" i="5"/>
  <c r="AV316" i="5" s="1"/>
  <c r="AT250" i="5"/>
  <c r="AU250" i="5" s="1"/>
  <c r="AT301" i="5"/>
  <c r="AV301" i="5" s="1"/>
  <c r="AT251" i="5"/>
  <c r="AV251" i="5" s="1"/>
  <c r="AT195" i="5"/>
  <c r="AU195" i="5" s="1"/>
  <c r="AT164" i="5"/>
  <c r="AU164" i="5" s="1"/>
  <c r="AT199" i="5"/>
  <c r="AU199" i="5" s="1"/>
  <c r="AT133" i="5"/>
  <c r="AV133" i="5" s="1"/>
  <c r="AT187" i="5"/>
  <c r="AV187" i="5" s="1"/>
  <c r="AT110" i="5"/>
  <c r="AT92" i="5"/>
  <c r="AT121" i="5"/>
  <c r="AU121" i="5" s="1"/>
  <c r="AT103" i="5"/>
  <c r="AU103" i="5" s="1"/>
  <c r="AT55" i="5"/>
  <c r="AU55" i="5" s="1"/>
  <c r="AT65" i="5"/>
  <c r="AV65" i="5" s="1"/>
  <c r="AT47" i="5"/>
  <c r="AV47" i="5" s="1"/>
  <c r="AT307" i="5"/>
  <c r="AV307" i="5" s="1"/>
  <c r="AT200" i="5"/>
  <c r="AV200" i="5" s="1"/>
  <c r="AT282" i="5"/>
  <c r="AU282" i="5" s="1"/>
  <c r="AT322" i="5"/>
  <c r="AU322" i="5" s="1"/>
  <c r="AT265" i="5"/>
  <c r="AU265" i="5" s="1"/>
  <c r="AT230" i="5"/>
  <c r="AV230" i="5" s="1"/>
  <c r="AT224" i="5"/>
  <c r="AV224" i="5" s="1"/>
  <c r="AT215" i="5"/>
  <c r="AU215" i="5" s="1"/>
  <c r="AT172" i="5"/>
  <c r="AV172" i="5" s="1"/>
  <c r="AT163" i="5"/>
  <c r="AV163" i="5" s="1"/>
  <c r="AT150" i="5"/>
  <c r="AV150" i="5" s="1"/>
  <c r="AT122" i="5"/>
  <c r="AV122" i="5" s="1"/>
  <c r="AT71" i="5"/>
  <c r="AV71" i="5" s="1"/>
  <c r="AT88" i="5"/>
  <c r="AT90" i="5"/>
  <c r="AT63" i="5"/>
  <c r="AV63" i="5" s="1"/>
  <c r="AT53" i="5"/>
  <c r="AU53" i="5" s="1"/>
  <c r="AT21" i="5"/>
  <c r="AU21" i="5" s="1"/>
  <c r="AT37" i="5"/>
  <c r="AV37" i="5" s="1"/>
  <c r="AT42" i="5"/>
  <c r="AV42" i="5" s="1"/>
  <c r="AT33" i="5"/>
  <c r="AT299" i="5"/>
  <c r="AV299" i="5" s="1"/>
  <c r="AT210" i="5"/>
  <c r="AU210" i="5" s="1"/>
  <c r="AT283" i="5"/>
  <c r="AV283" i="5" s="1"/>
  <c r="AT240" i="5"/>
  <c r="AV240" i="5" s="1"/>
  <c r="AT159" i="5"/>
  <c r="AV159" i="5" s="1"/>
  <c r="AT239" i="5"/>
  <c r="AV239" i="5" s="1"/>
  <c r="AT190" i="5"/>
  <c r="AU190" i="5" s="1"/>
  <c r="AT182" i="5"/>
  <c r="AV182" i="5" s="1"/>
  <c r="AT177" i="5"/>
  <c r="AV177" i="5" s="1"/>
  <c r="AT139" i="5"/>
  <c r="AU139" i="5" s="1"/>
  <c r="AT142" i="5"/>
  <c r="AU142" i="5" s="1"/>
  <c r="AT100" i="5"/>
  <c r="AU100" i="5" s="1"/>
  <c r="AT96" i="5"/>
  <c r="AT69" i="5"/>
  <c r="AT41" i="5"/>
  <c r="AV41" i="5" s="1"/>
  <c r="AT34" i="5"/>
  <c r="AU34" i="5" s="1"/>
  <c r="AT291" i="5"/>
  <c r="AU291" i="5" s="1"/>
  <c r="AT327" i="5"/>
  <c r="AV327" i="5" s="1"/>
  <c r="AT270" i="5"/>
  <c r="AV270" i="5" s="1"/>
  <c r="AT312" i="5"/>
  <c r="AU312" i="5" s="1"/>
  <c r="AT255" i="5"/>
  <c r="AV255" i="5" s="1"/>
  <c r="AT217" i="5"/>
  <c r="AU217" i="5" s="1"/>
  <c r="AT209" i="5"/>
  <c r="AU209" i="5" s="1"/>
  <c r="AT154" i="5"/>
  <c r="AV154" i="5" s="1"/>
  <c r="AT157" i="5"/>
  <c r="AU157" i="5" s="1"/>
  <c r="AT128" i="5"/>
  <c r="AU128" i="5" s="1"/>
  <c r="AT129" i="5"/>
  <c r="AU129" i="5" s="1"/>
  <c r="AT109" i="5"/>
  <c r="AV109" i="5" s="1"/>
  <c r="AT136" i="5"/>
  <c r="AU136" i="5" s="1"/>
  <c r="AT75" i="5"/>
  <c r="AV75" i="5" s="1"/>
  <c r="AT77" i="5"/>
  <c r="AU77" i="5" s="1"/>
  <c r="AT20" i="5"/>
  <c r="AU20" i="5" s="1"/>
  <c r="AT51" i="5"/>
  <c r="AT8" i="5"/>
  <c r="AV8" i="5" s="1"/>
  <c r="AT49" i="5"/>
  <c r="AT27" i="5"/>
  <c r="AT45" i="5"/>
  <c r="AT57" i="5"/>
  <c r="AT58" i="5"/>
  <c r="AT70" i="5"/>
  <c r="AT81" i="5"/>
  <c r="AT97" i="5"/>
  <c r="AT82" i="5"/>
  <c r="AT113" i="5"/>
  <c r="AT143" i="5"/>
  <c r="AT148" i="5"/>
  <c r="AT119" i="5"/>
  <c r="AT146" i="5"/>
  <c r="AT144" i="5"/>
  <c r="AT178" i="5"/>
  <c r="AT149" i="5"/>
  <c r="AT184" i="5"/>
  <c r="AT162" i="5"/>
  <c r="AT194" i="5"/>
  <c r="AT193" i="5"/>
  <c r="AT245" i="5"/>
  <c r="AT216" i="5"/>
  <c r="AT166" i="5"/>
  <c r="AT222" i="5"/>
  <c r="AT214" i="5"/>
  <c r="AT260" i="5"/>
  <c r="AT287" i="5"/>
  <c r="AT315" i="5"/>
  <c r="AT219" i="5"/>
  <c r="AT278" i="5"/>
  <c r="AT304" i="5"/>
  <c r="AT117" i="5"/>
  <c r="AT261" i="5"/>
  <c r="AT285" i="5"/>
  <c r="AT303" i="5"/>
  <c r="AT336" i="5"/>
  <c r="AT345" i="5"/>
  <c r="AT356" i="5"/>
  <c r="AT284" i="5"/>
  <c r="AT341" i="5"/>
  <c r="AT378" i="5"/>
  <c r="AT397" i="5"/>
  <c r="AT403" i="5"/>
  <c r="AT421" i="5"/>
  <c r="AT436" i="5"/>
  <c r="AT262" i="5"/>
  <c r="AT321" i="5"/>
  <c r="AT340" i="5"/>
  <c r="AT368" i="5"/>
  <c r="AT386" i="5"/>
  <c r="AT396" i="5"/>
  <c r="AT410" i="5"/>
  <c r="AT347" i="5"/>
  <c r="AT360" i="5"/>
  <c r="AT375" i="5"/>
  <c r="AT402" i="5"/>
  <c r="AT417" i="5"/>
  <c r="AT275" i="5"/>
  <c r="AT346" i="5"/>
  <c r="AT412" i="5"/>
  <c r="AT438" i="5"/>
  <c r="AT451" i="5"/>
  <c r="AT487" i="5"/>
  <c r="AT494" i="5"/>
  <c r="AT510" i="5"/>
  <c r="AT530" i="5"/>
  <c r="AT370" i="5"/>
  <c r="AT425" i="5"/>
  <c r="AT447" i="5"/>
  <c r="AT460" i="5"/>
  <c r="AT483" i="5"/>
  <c r="AT496" i="5"/>
  <c r="AT516" i="5"/>
  <c r="AT337" i="5"/>
  <c r="AT439" i="5"/>
  <c r="AT459" i="5"/>
  <c r="AT474" i="5"/>
  <c r="AT486" i="5"/>
  <c r="AT507" i="5"/>
  <c r="AT525" i="5"/>
  <c r="AT548" i="5"/>
  <c r="AT553" i="5"/>
  <c r="AT380" i="5"/>
  <c r="AT473" i="5"/>
  <c r="AT492" i="5"/>
  <c r="AT40" i="5"/>
  <c r="AT60" i="5"/>
  <c r="AT59" i="5"/>
  <c r="AT73" i="5"/>
  <c r="AT86" i="5"/>
  <c r="AT98" i="5"/>
  <c r="AT85" i="5"/>
  <c r="AT114" i="5"/>
  <c r="AT145" i="5"/>
  <c r="AT151" i="5"/>
  <c r="AT120" i="5"/>
  <c r="AT152" i="5"/>
  <c r="AT147" i="5"/>
  <c r="AT179" i="5"/>
  <c r="AT161" i="5"/>
  <c r="AT95" i="5"/>
  <c r="AT167" i="5"/>
  <c r="AT197" i="5"/>
  <c r="AT208" i="5"/>
  <c r="AT247" i="5"/>
  <c r="AT220" i="5"/>
  <c r="AT188" i="5"/>
  <c r="AT225" i="5"/>
  <c r="AT228" i="5"/>
  <c r="AT263" i="5"/>
  <c r="AT293" i="5"/>
  <c r="AT320" i="5"/>
  <c r="AT241" i="5"/>
  <c r="AT279" i="5"/>
  <c r="AT308" i="5"/>
  <c r="AT196" i="5"/>
  <c r="AT264" i="5"/>
  <c r="AT288" i="5"/>
  <c r="AT313" i="5"/>
  <c r="AT338" i="5"/>
  <c r="AT348" i="5"/>
  <c r="AT359" i="5"/>
  <c r="AT290" i="5"/>
  <c r="AT364" i="5"/>
  <c r="AT382" i="5"/>
  <c r="AT398" i="5"/>
  <c r="AT406" i="5"/>
  <c r="AT424" i="5"/>
  <c r="AT437" i="5"/>
  <c r="AT267" i="5"/>
  <c r="AT326" i="5"/>
  <c r="AT355" i="5"/>
  <c r="AT372" i="5"/>
  <c r="AT387" i="5"/>
  <c r="AT405" i="5"/>
  <c r="AT202" i="5"/>
  <c r="AT351" i="5"/>
  <c r="AT361" i="5"/>
  <c r="AT383" i="5"/>
  <c r="AT404" i="5"/>
  <c r="AT418" i="5"/>
  <c r="AT305" i="5"/>
  <c r="AT350" i="5"/>
  <c r="AT419" i="5"/>
  <c r="AT443" i="5"/>
  <c r="AT466" i="5"/>
  <c r="AT488" i="5"/>
  <c r="AT499" i="5"/>
  <c r="AT513" i="5"/>
  <c r="AT294" i="5"/>
  <c r="AT384" i="5"/>
  <c r="AT48" i="5"/>
  <c r="AT67" i="5"/>
  <c r="AT26" i="5"/>
  <c r="AT72" i="5"/>
  <c r="AT94" i="5"/>
  <c r="AT105" i="5"/>
  <c r="AT101" i="5"/>
  <c r="AT127" i="5"/>
  <c r="AT104" i="5"/>
  <c r="AT99" i="5"/>
  <c r="AT134" i="5"/>
  <c r="AT116" i="5"/>
  <c r="AT158" i="5"/>
  <c r="AT112" i="5"/>
  <c r="AT169" i="5"/>
  <c r="AT140" i="5"/>
  <c r="AT185" i="5"/>
  <c r="AT201" i="5"/>
  <c r="AT223" i="5"/>
  <c r="AT192" i="5"/>
  <c r="AT232" i="5"/>
  <c r="AT212" i="5"/>
  <c r="AT235" i="5"/>
  <c r="AT252" i="5"/>
  <c r="AT274" i="5"/>
  <c r="AT306" i="5"/>
  <c r="AT332" i="5"/>
  <c r="AT258" i="5"/>
  <c r="AT289" i="5"/>
  <c r="AT319" i="5"/>
  <c r="AT244" i="5"/>
  <c r="AT269" i="5"/>
  <c r="AT296" i="5"/>
  <c r="AT318" i="5"/>
  <c r="AT342" i="5"/>
  <c r="AT349" i="5"/>
  <c r="AT174" i="5"/>
  <c r="AT310" i="5"/>
  <c r="AT366" i="5"/>
  <c r="AT388" i="5"/>
  <c r="AT400" i="5"/>
  <c r="AT415" i="5"/>
  <c r="AT429" i="5"/>
  <c r="AT180" i="5"/>
  <c r="AT268" i="5"/>
  <c r="AT329" i="5"/>
  <c r="AT362" i="5"/>
  <c r="AT376" i="5"/>
  <c r="AT391" i="5"/>
  <c r="AT407" i="5"/>
  <c r="AT317" i="5"/>
  <c r="AT352" i="5"/>
  <c r="AT369" i="5"/>
  <c r="AT385" i="5"/>
  <c r="AT411" i="5"/>
  <c r="AT168" i="5"/>
  <c r="AT334" i="5"/>
  <c r="AT371" i="5"/>
  <c r="AT427" i="5"/>
  <c r="AT445" i="5"/>
  <c r="AT469" i="5"/>
  <c r="AT489" i="5"/>
  <c r="AT502" i="5"/>
  <c r="AT518" i="5"/>
  <c r="AT331" i="5"/>
  <c r="AT408" i="5"/>
  <c r="AT435" i="5"/>
  <c r="AT456" i="5"/>
  <c r="AT472" i="5"/>
  <c r="AT490" i="5"/>
  <c r="AT501" i="5"/>
  <c r="AT272" i="5"/>
  <c r="AT399" i="5"/>
  <c r="AT453" i="5"/>
  <c r="AT468" i="5"/>
  <c r="AT478" i="5"/>
  <c r="AT504" i="5"/>
  <c r="AT514" i="5"/>
  <c r="AT543" i="5"/>
  <c r="AT550" i="5"/>
  <c r="AT559" i="5"/>
  <c r="AT416" i="5"/>
  <c r="AT479" i="5"/>
  <c r="AT509" i="5"/>
  <c r="AT50" i="5"/>
  <c r="AT74" i="5"/>
  <c r="AT124" i="5"/>
  <c r="AT171" i="5"/>
  <c r="AT186" i="5"/>
  <c r="AT242" i="5"/>
  <c r="AT277" i="5"/>
  <c r="AT292" i="5"/>
  <c r="AT300" i="5"/>
  <c r="AT231" i="5"/>
  <c r="AT401" i="5"/>
  <c r="AT298" i="5"/>
  <c r="AT393" i="5"/>
  <c r="AT373" i="5"/>
  <c r="AT344" i="5"/>
  <c r="AT481" i="5"/>
  <c r="AT357" i="5"/>
  <c r="AT448" i="5"/>
  <c r="AT485" i="5"/>
  <c r="AT517" i="5"/>
  <c r="AT452" i="5"/>
  <c r="AT477" i="5"/>
  <c r="AT512" i="5"/>
  <c r="AT549" i="5"/>
  <c r="AT392" i="5"/>
  <c r="AT506" i="5"/>
  <c r="AT539" i="5"/>
  <c r="AT554" i="5"/>
  <c r="AT465" i="5"/>
  <c r="AT526" i="5"/>
  <c r="AT555" i="5"/>
  <c r="AT358" i="5"/>
  <c r="AT395" i="5"/>
  <c r="AT430" i="5"/>
  <c r="AT467" i="5"/>
  <c r="AT537" i="5"/>
  <c r="AT440" i="5"/>
  <c r="AT500" i="5"/>
  <c r="AT534" i="5"/>
  <c r="AT68" i="5"/>
  <c r="AT107" i="5"/>
  <c r="AT106" i="5"/>
  <c r="AT125" i="5"/>
  <c r="AT206" i="5"/>
  <c r="AT213" i="5"/>
  <c r="AT309" i="5"/>
  <c r="AT325" i="5"/>
  <c r="AT323" i="5"/>
  <c r="AT330" i="5"/>
  <c r="AT420" i="5"/>
  <c r="AT333" i="5"/>
  <c r="AT409" i="5"/>
  <c r="AT390" i="5"/>
  <c r="AT379" i="5"/>
  <c r="AT493" i="5"/>
  <c r="AT422" i="5"/>
  <c r="AT458" i="5"/>
  <c r="AT491" i="5"/>
  <c r="AT302" i="5"/>
  <c r="AT457" i="5"/>
  <c r="AT480" i="5"/>
  <c r="AT524" i="5"/>
  <c r="AT551" i="5"/>
  <c r="AT463" i="5"/>
  <c r="AT520" i="5"/>
  <c r="AT541" i="5"/>
  <c r="AT441" i="5"/>
  <c r="AT484" i="5"/>
  <c r="AT533" i="5"/>
  <c r="AT532" i="5"/>
  <c r="AT365" i="5"/>
  <c r="AT413" i="5"/>
  <c r="AT432" i="5"/>
  <c r="AT511" i="5"/>
  <c r="AT556" i="5"/>
  <c r="AT446" i="5"/>
  <c r="AT503" i="5"/>
  <c r="AT538" i="5"/>
  <c r="AT80" i="5"/>
  <c r="AT108" i="5"/>
  <c r="AT137" i="5"/>
  <c r="AT170" i="5"/>
  <c r="AT227" i="5"/>
  <c r="AT236" i="5"/>
  <c r="AT203" i="5"/>
  <c r="AT253" i="5"/>
  <c r="AT343" i="5"/>
  <c r="AT374" i="5"/>
  <c r="AT433" i="5"/>
  <c r="AT367" i="5"/>
  <c r="AT339" i="5"/>
  <c r="AT414" i="5"/>
  <c r="AT431" i="5"/>
  <c r="AT508" i="5"/>
  <c r="AT434" i="5"/>
  <c r="AT464" i="5"/>
  <c r="AT497" i="5"/>
  <c r="AT363" i="5"/>
  <c r="AT462" i="5"/>
  <c r="AT498" i="5"/>
  <c r="AT531" i="5"/>
  <c r="AT557" i="5"/>
  <c r="AT476" i="5"/>
  <c r="AT528" i="5"/>
  <c r="AT542" i="5"/>
  <c r="AT444" i="5"/>
  <c r="AT495" i="5"/>
  <c r="AT545" i="5"/>
  <c r="AT536" i="5"/>
  <c r="AT377" i="5"/>
  <c r="AT426" i="5"/>
  <c r="AT454" i="5"/>
  <c r="AT523" i="5"/>
  <c r="AT558" i="5"/>
  <c r="AT449" i="5"/>
  <c r="AT521" i="5"/>
  <c r="AT544" i="5"/>
  <c r="AT76" i="5"/>
  <c r="AT207" i="5"/>
  <c r="AT354" i="5"/>
  <c r="AT353" i="5"/>
  <c r="AT442" i="5"/>
  <c r="AT471" i="5"/>
  <c r="AT482" i="5"/>
  <c r="AT519" i="5"/>
  <c r="AT428" i="5"/>
  <c r="AT470" i="5"/>
  <c r="AT35" i="5"/>
  <c r="AT281" i="5"/>
  <c r="AT522" i="5"/>
  <c r="AT204" i="5"/>
  <c r="AT389" i="5"/>
  <c r="AT132" i="5"/>
  <c r="AT254" i="5"/>
  <c r="AT394" i="5"/>
  <c r="AT256" i="5"/>
  <c r="AT475" i="5"/>
  <c r="AT505" i="5"/>
  <c r="AT535" i="5"/>
  <c r="AT552" i="5"/>
  <c r="AT461" i="5"/>
  <c r="AT527" i="5"/>
  <c r="AT123" i="5"/>
  <c r="AT266" i="5"/>
  <c r="AT226" i="5"/>
  <c r="AT450" i="5"/>
  <c r="AT515" i="5"/>
  <c r="AT546" i="5"/>
  <c r="AT547" i="5"/>
  <c r="AT540" i="5"/>
  <c r="AT529" i="5"/>
  <c r="AT19" i="5"/>
  <c r="AT155" i="5"/>
  <c r="AT381" i="5"/>
  <c r="AT423" i="5"/>
  <c r="AT455" i="5"/>
  <c r="AT560" i="5"/>
  <c r="AV56" i="5"/>
  <c r="AU56" i="5"/>
  <c r="AU46" i="5"/>
  <c r="AZ7" i="5"/>
  <c r="BB7" i="5" s="1"/>
  <c r="AZ344" i="5"/>
  <c r="AZ302" i="5"/>
  <c r="AZ227" i="5"/>
  <c r="BB227" i="5" s="1"/>
  <c r="AZ256" i="5"/>
  <c r="BB256" i="5" s="1"/>
  <c r="AZ282" i="5"/>
  <c r="AZ240" i="5"/>
  <c r="BB240" i="5" s="1"/>
  <c r="AZ235" i="5"/>
  <c r="BB235" i="5" s="1"/>
  <c r="AZ236" i="5"/>
  <c r="BB236" i="5" s="1"/>
  <c r="AZ118" i="5"/>
  <c r="BA118" i="5" s="1"/>
  <c r="AZ115" i="5"/>
  <c r="AZ169" i="5"/>
  <c r="BA169" i="5" s="1"/>
  <c r="AZ107" i="5"/>
  <c r="BB107" i="5" s="1"/>
  <c r="AZ111" i="5"/>
  <c r="BA111" i="5" s="1"/>
  <c r="AZ103" i="5"/>
  <c r="BA103" i="5" s="1"/>
  <c r="AZ83" i="5"/>
  <c r="BA83" i="5" s="1"/>
  <c r="AZ53" i="5"/>
  <c r="BA53" i="5" s="1"/>
  <c r="AZ39" i="5"/>
  <c r="BA39" i="5" s="1"/>
  <c r="AZ38" i="5"/>
  <c r="BB38" i="5" s="1"/>
  <c r="AZ8" i="5"/>
  <c r="BA8" i="5" s="1"/>
  <c r="AZ373" i="5"/>
  <c r="BB373" i="5" s="1"/>
  <c r="AZ351" i="5"/>
  <c r="AZ309" i="5"/>
  <c r="AZ241" i="5"/>
  <c r="BA241" i="5" s="1"/>
  <c r="AZ269" i="5"/>
  <c r="BA269" i="5" s="1"/>
  <c r="AZ288" i="5"/>
  <c r="AZ191" i="5"/>
  <c r="BB191" i="5" s="1"/>
  <c r="AZ242" i="5"/>
  <c r="BB242" i="5" s="1"/>
  <c r="AZ179" i="5"/>
  <c r="BA179" i="5" s="1"/>
  <c r="AZ136" i="5"/>
  <c r="BA136" i="5" s="1"/>
  <c r="AZ134" i="5"/>
  <c r="AZ177" i="5"/>
  <c r="BA177" i="5" s="1"/>
  <c r="AZ119" i="5"/>
  <c r="BB119" i="5" s="1"/>
  <c r="AZ117" i="5"/>
  <c r="BB117" i="5" s="1"/>
  <c r="AZ94" i="5"/>
  <c r="BB94" i="5" s="1"/>
  <c r="AZ89" i="5"/>
  <c r="BB89" i="5" s="1"/>
  <c r="AZ75" i="5"/>
  <c r="BB75" i="5" s="1"/>
  <c r="AZ52" i="5"/>
  <c r="BA52" i="5" s="1"/>
  <c r="AZ44" i="5"/>
  <c r="BB44" i="5" s="1"/>
  <c r="AZ34" i="5"/>
  <c r="BA34" i="5" s="1"/>
  <c r="AZ206" i="5"/>
  <c r="BB206" i="5" s="1"/>
  <c r="AZ314" i="5"/>
  <c r="AZ251" i="5"/>
  <c r="AZ284" i="5"/>
  <c r="BA284" i="5" s="1"/>
  <c r="AZ300" i="5"/>
  <c r="BB300" i="5" s="1"/>
  <c r="AZ223" i="5"/>
  <c r="AZ178" i="5"/>
  <c r="BB178" i="5" s="1"/>
  <c r="AZ195" i="5"/>
  <c r="BA195" i="5" s="1"/>
  <c r="AZ174" i="5"/>
  <c r="BB174" i="5" s="1"/>
  <c r="AZ156" i="5"/>
  <c r="BB156" i="5" s="1"/>
  <c r="AZ141" i="5"/>
  <c r="AZ137" i="5"/>
  <c r="BA137" i="5" s="1"/>
  <c r="AZ125" i="5"/>
  <c r="BB125" i="5" s="1"/>
  <c r="AZ114" i="5"/>
  <c r="AZ92" i="5"/>
  <c r="BA92" i="5" s="1"/>
  <c r="AZ47" i="5"/>
  <c r="BB47" i="5" s="1"/>
  <c r="AZ51" i="5"/>
  <c r="BB51" i="5" s="1"/>
  <c r="AZ32" i="5"/>
  <c r="BA32" i="5" s="1"/>
  <c r="AZ45" i="5"/>
  <c r="BB45" i="5" s="1"/>
  <c r="AZ326" i="5"/>
  <c r="BA326" i="5" s="1"/>
  <c r="AZ274" i="5"/>
  <c r="BB274" i="5" s="1"/>
  <c r="AZ219" i="5"/>
  <c r="AZ197" i="5"/>
  <c r="AZ132" i="5"/>
  <c r="BB132" i="5" s="1"/>
  <c r="AZ81" i="5"/>
  <c r="BB81" i="5" s="1"/>
  <c r="AZ80" i="5"/>
  <c r="AZ70" i="5"/>
  <c r="BB70" i="5" s="1"/>
  <c r="AZ68" i="5"/>
  <c r="BA68" i="5" s="1"/>
  <c r="AZ43" i="5"/>
  <c r="BA43" i="5" s="1"/>
  <c r="O12" i="5"/>
  <c r="AZ12" i="5" s="1"/>
  <c r="AZ352" i="5"/>
  <c r="AZ339" i="5"/>
  <c r="BB339" i="5" s="1"/>
  <c r="AZ295" i="5"/>
  <c r="BA295" i="5" s="1"/>
  <c r="AZ188" i="5"/>
  <c r="BB188" i="5" s="1"/>
  <c r="AZ247" i="5"/>
  <c r="BA247" i="5" s="1"/>
  <c r="AZ279" i="5"/>
  <c r="BB279" i="5" s="1"/>
  <c r="AZ237" i="5"/>
  <c r="BA237" i="5" s="1"/>
  <c r="AZ226" i="5"/>
  <c r="BB226" i="5" s="1"/>
  <c r="AZ230" i="5"/>
  <c r="BA230" i="5" s="1"/>
  <c r="AZ201" i="5"/>
  <c r="BA201" i="5" s="1"/>
  <c r="AZ180" i="5"/>
  <c r="BB180" i="5" s="1"/>
  <c r="AZ163" i="5"/>
  <c r="AZ154" i="5"/>
  <c r="AZ100" i="5"/>
  <c r="BA100" i="5" s="1"/>
  <c r="AZ86" i="5"/>
  <c r="BA86" i="5" s="1"/>
  <c r="AZ84" i="5"/>
  <c r="AZ78" i="5"/>
  <c r="BA78" i="5" s="1"/>
  <c r="AZ21" i="5"/>
  <c r="BA21" i="5" s="1"/>
  <c r="AZ30" i="5"/>
  <c r="BA30" i="5" s="1"/>
  <c r="AZ369" i="5"/>
  <c r="BA369" i="5" s="1"/>
  <c r="AZ346" i="5"/>
  <c r="AZ306" i="5"/>
  <c r="BA306" i="5" s="1"/>
  <c r="AZ232" i="5"/>
  <c r="BB232" i="5" s="1"/>
  <c r="AZ262" i="5"/>
  <c r="BA262" i="5" s="1"/>
  <c r="AZ285" i="5"/>
  <c r="BB285" i="5" s="1"/>
  <c r="AZ189" i="5"/>
  <c r="BA189" i="5" s="1"/>
  <c r="AZ238" i="5"/>
  <c r="BB238" i="5" s="1"/>
  <c r="AZ243" i="5"/>
  <c r="BB243" i="5" s="1"/>
  <c r="AZ130" i="5"/>
  <c r="BB130" i="5" s="1"/>
  <c r="AZ122" i="5"/>
  <c r="BB122" i="5" s="1"/>
  <c r="AZ175" i="5"/>
  <c r="BA175" i="5" s="1"/>
  <c r="AZ113" i="5"/>
  <c r="AZ112" i="5"/>
  <c r="AZ109" i="5"/>
  <c r="BA109" i="5" s="1"/>
  <c r="AZ88" i="5"/>
  <c r="BB88" i="5" s="1"/>
  <c r="AZ71" i="5"/>
  <c r="AZ48" i="5"/>
  <c r="BA48" i="5" s="1"/>
  <c r="AZ41" i="5"/>
  <c r="BB41" i="5" s="1"/>
  <c r="AZ29" i="5"/>
  <c r="BA29" i="5" s="1"/>
  <c r="AZ332" i="5"/>
  <c r="BA332" i="5" s="1"/>
  <c r="AZ283" i="5"/>
  <c r="AZ157" i="5"/>
  <c r="BB157" i="5" s="1"/>
  <c r="AZ231" i="5"/>
  <c r="BA231" i="5" s="1"/>
  <c r="AZ221" i="5"/>
  <c r="BB221" i="5" s="1"/>
  <c r="AZ172" i="5"/>
  <c r="BA172" i="5" s="1"/>
  <c r="AZ147" i="5"/>
  <c r="BA147" i="5" s="1"/>
  <c r="AZ105" i="5"/>
  <c r="BA105" i="5" s="1"/>
  <c r="AZ322" i="5"/>
  <c r="BA322" i="5" s="1"/>
  <c r="AZ263" i="5"/>
  <c r="BB263" i="5" s="1"/>
  <c r="AZ298" i="5"/>
  <c r="BA298" i="5" s="1"/>
  <c r="AZ313" i="5"/>
  <c r="BA313" i="5" s="1"/>
  <c r="AZ261" i="5"/>
  <c r="AZ199" i="5"/>
  <c r="AZ210" i="5"/>
  <c r="BA210" i="5" s="1"/>
  <c r="AZ208" i="5"/>
  <c r="BA208" i="5" s="1"/>
  <c r="AZ168" i="5"/>
  <c r="AZ159" i="5"/>
  <c r="BA159" i="5" s="1"/>
  <c r="AZ145" i="5"/>
  <c r="BA145" i="5" s="1"/>
  <c r="AZ133" i="5"/>
  <c r="BA133" i="5" s="1"/>
  <c r="AZ131" i="5"/>
  <c r="BA131" i="5" s="1"/>
  <c r="AZ97" i="5"/>
  <c r="AZ65" i="5"/>
  <c r="BB65" i="5" s="1"/>
  <c r="AZ61" i="5"/>
  <c r="BB61" i="5" s="1"/>
  <c r="AZ56" i="5"/>
  <c r="BA56" i="5" s="1"/>
  <c r="AZ26" i="5"/>
  <c r="BA26" i="5" s="1"/>
  <c r="AZ411" i="5"/>
  <c r="BB411" i="5" s="1"/>
  <c r="AZ316" i="5"/>
  <c r="BA316" i="5" s="1"/>
  <c r="AZ329" i="5"/>
  <c r="BB329" i="5" s="1"/>
  <c r="AZ268" i="5"/>
  <c r="BB268" i="5" s="1"/>
  <c r="AZ317" i="5"/>
  <c r="BB317" i="5" s="1"/>
  <c r="AZ323" i="5"/>
  <c r="BA323" i="5" s="1"/>
  <c r="AZ266" i="5"/>
  <c r="AZ202" i="5"/>
  <c r="AZ214" i="5"/>
  <c r="BB214" i="5" s="1"/>
  <c r="AZ213" i="5"/>
  <c r="BB213" i="5" s="1"/>
  <c r="AZ183" i="5"/>
  <c r="AZ166" i="5"/>
  <c r="BB166" i="5" s="1"/>
  <c r="AZ101" i="5"/>
  <c r="BA101" i="5" s="1"/>
  <c r="AZ138" i="5"/>
  <c r="BA138" i="5" s="1"/>
  <c r="AZ144" i="5"/>
  <c r="BB144" i="5" s="1"/>
  <c r="AZ74" i="5"/>
  <c r="AZ76" i="5"/>
  <c r="BB76" i="5" s="1"/>
  <c r="AZ54" i="5"/>
  <c r="BB54" i="5" s="1"/>
  <c r="AZ64" i="5"/>
  <c r="BB64" i="5" s="1"/>
  <c r="AZ31" i="5"/>
  <c r="BA31" i="5" s="1"/>
  <c r="AZ338" i="5"/>
  <c r="BA338" i="5" s="1"/>
  <c r="AZ337" i="5"/>
  <c r="BA337" i="5" s="1"/>
  <c r="AZ287" i="5"/>
  <c r="BA287" i="5" s="1"/>
  <c r="AZ331" i="5"/>
  <c r="BA331" i="5" s="1"/>
  <c r="AZ207" i="5"/>
  <c r="BA207" i="5" s="1"/>
  <c r="AZ276" i="5"/>
  <c r="BA276" i="5" s="1"/>
  <c r="AZ234" i="5"/>
  <c r="AZ222" i="5"/>
  <c r="AZ225" i="5"/>
  <c r="BA225" i="5" s="1"/>
  <c r="AZ198" i="5"/>
  <c r="BB198" i="5" s="1"/>
  <c r="AZ176" i="5"/>
  <c r="AZ160" i="5"/>
  <c r="BA160" i="5" s="1"/>
  <c r="AZ149" i="5"/>
  <c r="BB149" i="5" s="1"/>
  <c r="AZ85" i="5"/>
  <c r="BB85" i="5" s="1"/>
  <c r="AZ108" i="5"/>
  <c r="BA108" i="5" s="1"/>
  <c r="AZ82" i="5"/>
  <c r="AZ72" i="5"/>
  <c r="BA72" i="5" s="1"/>
  <c r="AZ73" i="5"/>
  <c r="BA73" i="5" s="1"/>
  <c r="U287" i="5"/>
  <c r="AU160" i="5"/>
  <c r="AV79" i="5"/>
  <c r="AV173" i="5"/>
  <c r="AU173" i="5"/>
  <c r="AJ172" i="5"/>
  <c r="AK172" i="5" s="1"/>
  <c r="AU187" i="5"/>
  <c r="AV110" i="5"/>
  <c r="AU110" i="5"/>
  <c r="AV92" i="5"/>
  <c r="AU92" i="5"/>
  <c r="AV121" i="5"/>
  <c r="AV103" i="5"/>
  <c r="AU307" i="5"/>
  <c r="AU71" i="5"/>
  <c r="AV88" i="5"/>
  <c r="AU88" i="5"/>
  <c r="AU90" i="5"/>
  <c r="AV90" i="5"/>
  <c r="AU63" i="5"/>
  <c r="AV53" i="5"/>
  <c r="B142" i="2"/>
  <c r="B62" i="5"/>
  <c r="AU176" i="5"/>
  <c r="AV176" i="5"/>
  <c r="AU131" i="5"/>
  <c r="AV23" i="5"/>
  <c r="AV138" i="5"/>
  <c r="AU138" i="5"/>
  <c r="AU83" i="5"/>
  <c r="AV22" i="5"/>
  <c r="AJ166" i="5"/>
  <c r="AK166" i="5" s="1"/>
  <c r="AJ7" i="5"/>
  <c r="AK7" i="5" s="1"/>
  <c r="AJ109" i="5"/>
  <c r="AL109" i="5" s="1"/>
  <c r="AJ121" i="5"/>
  <c r="AL121" i="5" s="1"/>
  <c r="AV100" i="5"/>
  <c r="AV96" i="5"/>
  <c r="AU96" i="5"/>
  <c r="AU69" i="5"/>
  <c r="AV69" i="5"/>
  <c r="AU41" i="5"/>
  <c r="AU327" i="5"/>
  <c r="AV312" i="5"/>
  <c r="AV20" i="5"/>
  <c r="AV51" i="5"/>
  <c r="AU51" i="5"/>
  <c r="AJ43" i="5"/>
  <c r="AL43" i="5" s="1"/>
  <c r="V484" i="5"/>
  <c r="AU286" i="5"/>
  <c r="AV286" i="5"/>
  <c r="AV273" i="5"/>
  <c r="AV153" i="5"/>
  <c r="AU153" i="5"/>
  <c r="AU91" i="5"/>
  <c r="AV66" i="5"/>
  <c r="AU66" i="5"/>
  <c r="AU54" i="5"/>
  <c r="AV54" i="5"/>
  <c r="AU39" i="5"/>
  <c r="AV246" i="5"/>
  <c r="AU249" i="5"/>
  <c r="AV249" i="5"/>
  <c r="AV102" i="5"/>
  <c r="AU43" i="5"/>
  <c r="AV43" i="5"/>
  <c r="AV29" i="5"/>
  <c r="AU29" i="5"/>
  <c r="AZ25" i="5"/>
  <c r="AZ42" i="5"/>
  <c r="AZ58" i="5"/>
  <c r="AZ62" i="5"/>
  <c r="AZ96" i="5"/>
  <c r="AZ129" i="5"/>
  <c r="AZ128" i="5"/>
  <c r="AZ142" i="5"/>
  <c r="AZ153" i="5"/>
  <c r="AZ162" i="5"/>
  <c r="AZ205" i="5"/>
  <c r="AZ204" i="5"/>
  <c r="AZ186" i="5"/>
  <c r="AZ259" i="5"/>
  <c r="AZ307" i="5"/>
  <c r="AZ294" i="5"/>
  <c r="AZ257" i="5"/>
  <c r="AZ320" i="5"/>
  <c r="AZ358" i="5"/>
  <c r="AZ335" i="5"/>
  <c r="AZ383" i="5"/>
  <c r="AZ410" i="5"/>
  <c r="AZ428" i="5"/>
  <c r="AZ440" i="5"/>
  <c r="AZ277" i="5"/>
  <c r="AZ345" i="5"/>
  <c r="AZ361" i="5"/>
  <c r="AZ375" i="5"/>
  <c r="AZ386" i="5"/>
  <c r="AZ399" i="5"/>
  <c r="AZ417" i="5"/>
  <c r="AZ245" i="5"/>
  <c r="AZ280" i="5"/>
  <c r="AZ333" i="5"/>
  <c r="AZ342" i="5"/>
  <c r="AZ364" i="5"/>
  <c r="AZ378" i="5"/>
  <c r="AZ398" i="5"/>
  <c r="AZ416" i="5"/>
  <c r="AZ368" i="5"/>
  <c r="AZ452" i="5"/>
  <c r="AZ460" i="5"/>
  <c r="AZ478" i="5"/>
  <c r="AZ504" i="5"/>
  <c r="AZ531" i="5"/>
  <c r="AZ382" i="5"/>
  <c r="AZ403" i="5"/>
  <c r="AZ429" i="5"/>
  <c r="AZ461" i="5"/>
  <c r="AZ468" i="5"/>
  <c r="AZ480" i="5"/>
  <c r="AZ507" i="5"/>
  <c r="AZ516" i="5"/>
  <c r="AZ353" i="5"/>
  <c r="AZ405" i="5"/>
  <c r="AZ441" i="5"/>
  <c r="AZ453" i="5"/>
  <c r="AZ466" i="5"/>
  <c r="AZ479" i="5"/>
  <c r="AZ488" i="5"/>
  <c r="AZ494" i="5"/>
  <c r="AZ502" i="5"/>
  <c r="AZ509" i="5"/>
  <c r="AZ522" i="5"/>
  <c r="AZ545" i="5"/>
  <c r="AZ229" i="5"/>
  <c r="AZ425" i="5"/>
  <c r="AZ513" i="5"/>
  <c r="AZ529" i="5"/>
  <c r="AZ548" i="5"/>
  <c r="AZ558" i="5"/>
  <c r="AZ448" i="5"/>
  <c r="AZ544" i="5"/>
  <c r="AZ407" i="5"/>
  <c r="AZ501" i="5"/>
  <c r="AZ541" i="5"/>
  <c r="AZ559" i="5"/>
  <c r="AZ464" i="5"/>
  <c r="AZ19" i="5"/>
  <c r="AZ37" i="5"/>
  <c r="AZ67" i="5"/>
  <c r="AZ57" i="5"/>
  <c r="AZ77" i="5"/>
  <c r="AZ102" i="5"/>
  <c r="AZ151" i="5"/>
  <c r="AZ146" i="5"/>
  <c r="AZ104" i="5"/>
  <c r="AZ170" i="5"/>
  <c r="AZ187" i="5"/>
  <c r="AZ216" i="5"/>
  <c r="AZ217" i="5"/>
  <c r="AZ215" i="5"/>
  <c r="AZ271" i="5"/>
  <c r="AZ327" i="5"/>
  <c r="AZ321" i="5"/>
  <c r="AZ275" i="5"/>
  <c r="AZ330" i="5"/>
  <c r="AZ224" i="5"/>
  <c r="AZ360" i="5"/>
  <c r="AZ385" i="5"/>
  <c r="AZ414" i="5"/>
  <c r="AZ431" i="5"/>
  <c r="AZ250" i="5"/>
  <c r="AZ293" i="5"/>
  <c r="AZ350" i="5"/>
  <c r="AZ363" i="5"/>
  <c r="AZ377" i="5"/>
  <c r="AZ389" i="5"/>
  <c r="AZ402" i="5"/>
  <c r="AZ418" i="5"/>
  <c r="AZ254" i="5"/>
  <c r="AZ286" i="5"/>
  <c r="AZ336" i="5"/>
  <c r="AZ348" i="5"/>
  <c r="AZ366" i="5"/>
  <c r="AZ379" i="5"/>
  <c r="AZ400" i="5"/>
  <c r="AZ311" i="5"/>
  <c r="AZ401" i="5"/>
  <c r="AZ457" i="5"/>
  <c r="AZ471" i="5"/>
  <c r="AZ490" i="5"/>
  <c r="AZ515" i="5"/>
  <c r="AZ532" i="5"/>
  <c r="AZ391" i="5"/>
  <c r="AZ412" i="5"/>
  <c r="AZ439" i="5"/>
  <c r="AZ462" i="5"/>
  <c r="AZ470" i="5"/>
  <c r="AZ484" i="5"/>
  <c r="AZ511" i="5"/>
  <c r="AZ519" i="5"/>
  <c r="AZ381" i="5"/>
  <c r="AZ430" i="5"/>
  <c r="AZ443" i="5"/>
  <c r="AZ454" i="5"/>
  <c r="AZ469" i="5"/>
  <c r="AZ482" i="5"/>
  <c r="AZ489" i="5"/>
  <c r="AZ495" i="5"/>
  <c r="AZ503" i="5"/>
  <c r="AZ510" i="5"/>
  <c r="AZ523" i="5"/>
  <c r="AZ554" i="5"/>
  <c r="AZ297" i="5"/>
  <c r="AZ449" i="5"/>
  <c r="AZ517" i="5"/>
  <c r="AZ534" i="5"/>
  <c r="AZ553" i="5"/>
  <c r="AZ433" i="5"/>
  <c r="AZ524" i="5"/>
  <c r="AZ549" i="5"/>
  <c r="AZ424" i="5"/>
  <c r="AZ528" i="5"/>
  <c r="AZ542" i="5"/>
  <c r="AZ372" i="5"/>
  <c r="AZ483" i="5"/>
  <c r="AZ33" i="5"/>
  <c r="AZ28" i="5"/>
  <c r="AZ49" i="5"/>
  <c r="AZ93" i="5"/>
  <c r="AZ87" i="5"/>
  <c r="AZ106" i="5"/>
  <c r="AZ155" i="5"/>
  <c r="AZ167" i="5"/>
  <c r="AZ185" i="5"/>
  <c r="AZ203" i="5"/>
  <c r="AZ233" i="5"/>
  <c r="AZ228" i="5"/>
  <c r="AZ239" i="5"/>
  <c r="AZ281" i="5"/>
  <c r="AZ253" i="5"/>
  <c r="AZ192" i="5"/>
  <c r="AZ301" i="5"/>
  <c r="AZ343" i="5"/>
  <c r="AZ258" i="5"/>
  <c r="AZ367" i="5"/>
  <c r="AZ404" i="5"/>
  <c r="AZ420" i="5"/>
  <c r="AZ435" i="5"/>
  <c r="AZ252" i="5"/>
  <c r="AZ304" i="5"/>
  <c r="AZ356" i="5"/>
  <c r="AZ365" i="5"/>
  <c r="AZ380" i="5"/>
  <c r="AZ390" i="5"/>
  <c r="AZ408" i="5"/>
  <c r="AZ419" i="5"/>
  <c r="AZ267" i="5"/>
  <c r="AZ289" i="5"/>
  <c r="AZ340" i="5"/>
  <c r="AZ349" i="5"/>
  <c r="AZ371" i="5"/>
  <c r="AZ388" i="5"/>
  <c r="AZ406" i="5"/>
  <c r="AZ354" i="5"/>
  <c r="AZ422" i="5"/>
  <c r="AZ458" i="5"/>
  <c r="AZ472" i="5"/>
  <c r="AZ496" i="5"/>
  <c r="AZ525" i="5"/>
  <c r="AZ270" i="5"/>
  <c r="AZ394" i="5"/>
  <c r="AZ426" i="5"/>
  <c r="AZ446" i="5"/>
  <c r="AZ465" i="5"/>
  <c r="AZ474" i="5"/>
  <c r="AZ498" i="5"/>
  <c r="AZ512" i="5"/>
  <c r="AZ308" i="5"/>
  <c r="AZ387" i="5"/>
  <c r="AZ432" i="5"/>
  <c r="AZ444" i="5"/>
  <c r="AZ455" i="5"/>
  <c r="AZ473" i="5"/>
  <c r="AZ486" i="5"/>
  <c r="AZ492" i="5"/>
  <c r="AZ499" i="5"/>
  <c r="AZ505" i="5"/>
  <c r="AZ518" i="5"/>
  <c r="AZ530" i="5"/>
  <c r="AZ555" i="5"/>
  <c r="AZ328" i="5"/>
  <c r="AZ456" i="5"/>
  <c r="AZ521" i="5"/>
  <c r="AZ536" i="5"/>
  <c r="AZ557" i="5"/>
  <c r="AZ437" i="5"/>
  <c r="AZ538" i="5"/>
  <c r="AZ550" i="5"/>
  <c r="AZ481" i="5"/>
  <c r="AZ533" i="5"/>
  <c r="AZ547" i="5"/>
  <c r="AZ438" i="5"/>
  <c r="AZ537" i="5"/>
  <c r="AZ36" i="5"/>
  <c r="AZ46" i="5"/>
  <c r="AZ63" i="5"/>
  <c r="AZ79" i="5"/>
  <c r="AZ90" i="5"/>
  <c r="AZ99" i="5"/>
  <c r="AZ120" i="5"/>
  <c r="AZ124" i="5"/>
  <c r="AZ181" i="5"/>
  <c r="AZ143" i="5"/>
  <c r="AZ165" i="5"/>
  <c r="AZ182" i="5"/>
  <c r="AZ244" i="5"/>
  <c r="AZ193" i="5"/>
  <c r="AZ291" i="5"/>
  <c r="AZ272" i="5"/>
  <c r="AZ248" i="5"/>
  <c r="AZ310" i="5"/>
  <c r="AZ357" i="5"/>
  <c r="AZ319" i="5"/>
  <c r="AZ376" i="5"/>
  <c r="AZ409" i="5"/>
  <c r="AZ423" i="5"/>
  <c r="AZ436" i="5"/>
  <c r="AZ260" i="5"/>
  <c r="AZ334" i="5"/>
  <c r="AZ359" i="5"/>
  <c r="AZ370" i="5"/>
  <c r="AZ384" i="5"/>
  <c r="AZ392" i="5"/>
  <c r="AZ413" i="5"/>
  <c r="AZ209" i="5"/>
  <c r="AZ273" i="5"/>
  <c r="AZ292" i="5"/>
  <c r="AZ341" i="5"/>
  <c r="AZ355" i="5"/>
  <c r="AZ374" i="5"/>
  <c r="AZ395" i="5"/>
  <c r="AZ415" i="5"/>
  <c r="AZ362" i="5"/>
  <c r="AZ442" i="5"/>
  <c r="AZ459" i="5"/>
  <c r="AZ475" i="5"/>
  <c r="AZ497" i="5"/>
  <c r="AZ526" i="5"/>
  <c r="AZ325" i="5"/>
  <c r="AZ397" i="5"/>
  <c r="AZ427" i="5"/>
  <c r="AZ447" i="5"/>
  <c r="AZ467" i="5"/>
  <c r="AZ477" i="5"/>
  <c r="AZ506" i="5"/>
  <c r="AZ514" i="5"/>
  <c r="AZ347" i="5"/>
  <c r="AZ396" i="5"/>
  <c r="AZ434" i="5"/>
  <c r="AZ451" i="5"/>
  <c r="AZ463" i="5"/>
  <c r="AZ476" i="5"/>
  <c r="AZ487" i="5"/>
  <c r="AZ493" i="5"/>
  <c r="AZ500" i="5"/>
  <c r="AZ508" i="5"/>
  <c r="AZ520" i="5"/>
  <c r="AZ539" i="5"/>
  <c r="AZ556" i="5"/>
  <c r="AZ421" i="5"/>
  <c r="AZ485" i="5"/>
  <c r="AZ527" i="5"/>
  <c r="AZ540" i="5"/>
  <c r="AZ560" i="5"/>
  <c r="AZ445" i="5"/>
  <c r="AZ543" i="5"/>
  <c r="AZ551" i="5"/>
  <c r="AZ491" i="5"/>
  <c r="AZ535" i="5"/>
  <c r="AZ552" i="5"/>
  <c r="AZ450" i="5"/>
  <c r="AZ546" i="5"/>
  <c r="AW26" i="5"/>
  <c r="AW48" i="5"/>
  <c r="AW33" i="5"/>
  <c r="AW46" i="5"/>
  <c r="AW32" i="5"/>
  <c r="AW45" i="5"/>
  <c r="AW34" i="5"/>
  <c r="AW59" i="5"/>
  <c r="AW36" i="5"/>
  <c r="AW54" i="5"/>
  <c r="AW65" i="5"/>
  <c r="AW40" i="5"/>
  <c r="AW58" i="5"/>
  <c r="AW83" i="5"/>
  <c r="AW70" i="5"/>
  <c r="AW81" i="5"/>
  <c r="AW99" i="5"/>
  <c r="AW84" i="5"/>
  <c r="AW95" i="5"/>
  <c r="AW107" i="5"/>
  <c r="AW111" i="5"/>
  <c r="AW120" i="5"/>
  <c r="AW135" i="5"/>
  <c r="AW152" i="5"/>
  <c r="AW115" i="5"/>
  <c r="AW130" i="5"/>
  <c r="AW141" i="5"/>
  <c r="AW157" i="5"/>
  <c r="AW102" i="5"/>
  <c r="AW114" i="5"/>
  <c r="AW131" i="5"/>
  <c r="AW147" i="5"/>
  <c r="AW155" i="5"/>
  <c r="AW164" i="5"/>
  <c r="AW176" i="5"/>
  <c r="AW156" i="5"/>
  <c r="AW183" i="5"/>
  <c r="AW170" i="5"/>
  <c r="AW188" i="5"/>
  <c r="AW205" i="5"/>
  <c r="AW148" i="5"/>
  <c r="AW195" i="5"/>
  <c r="AW214" i="5"/>
  <c r="AW226" i="5"/>
  <c r="AW240" i="5"/>
  <c r="AW197" i="5"/>
  <c r="AW231" i="5"/>
  <c r="AW169" i="5"/>
  <c r="AW187" i="5"/>
  <c r="AW198" i="5"/>
  <c r="AW216" i="5"/>
  <c r="AW224" i="5"/>
  <c r="AW241" i="5"/>
  <c r="AW233" i="5"/>
  <c r="AW253" i="5"/>
  <c r="AW272" i="5"/>
  <c r="AW294" i="5"/>
  <c r="AW310" i="5"/>
  <c r="AW329" i="5"/>
  <c r="AW225" i="5"/>
  <c r="AW251" i="5"/>
  <c r="AW263" i="5"/>
  <c r="AW280" i="5"/>
  <c r="AW295" i="5"/>
  <c r="AW312" i="5"/>
  <c r="AW322" i="5"/>
  <c r="AW213" i="5"/>
  <c r="AW252" i="5"/>
  <c r="AW270" i="5"/>
  <c r="AW282" i="5"/>
  <c r="AW297" i="5"/>
  <c r="AW311" i="5"/>
  <c r="AW328" i="5"/>
  <c r="AW347" i="5"/>
  <c r="AW246" i="5"/>
  <c r="AW313" i="5"/>
  <c r="AW345" i="5"/>
  <c r="AW357" i="5"/>
  <c r="AW370" i="5"/>
  <c r="AW380" i="5"/>
  <c r="AW392" i="5"/>
  <c r="AW413" i="5"/>
  <c r="AW427" i="5"/>
  <c r="AW271" i="5"/>
  <c r="AW341" i="5"/>
  <c r="O13" i="5"/>
  <c r="AJ13" i="5" s="1"/>
  <c r="AW22" i="5"/>
  <c r="AW31" i="5"/>
  <c r="AW20" i="5"/>
  <c r="AW38" i="5"/>
  <c r="AW21" i="5"/>
  <c r="AW35" i="5"/>
  <c r="AW52" i="5"/>
  <c r="AW51" i="5"/>
  <c r="AW61" i="5"/>
  <c r="AW47" i="5"/>
  <c r="AW56" i="5"/>
  <c r="AW71" i="5"/>
  <c r="AW60" i="5"/>
  <c r="AW68" i="5"/>
  <c r="AW88" i="5"/>
  <c r="AW72" i="5"/>
  <c r="AW85" i="5"/>
  <c r="AW101" i="5"/>
  <c r="AW89" i="5"/>
  <c r="AW96" i="5"/>
  <c r="AW97" i="5"/>
  <c r="AW112" i="5"/>
  <c r="AW125" i="5"/>
  <c r="AW138" i="5"/>
  <c r="AW158" i="5"/>
  <c r="AW116" i="5"/>
  <c r="AW132" i="5"/>
  <c r="AW143" i="5"/>
  <c r="AW64" i="5"/>
  <c r="AW105" i="5"/>
  <c r="AW121" i="5"/>
  <c r="AW133" i="5"/>
  <c r="AW150" i="5"/>
  <c r="AW113" i="5"/>
  <c r="AW166" i="5"/>
  <c r="AW180" i="5"/>
  <c r="AW173" i="5"/>
  <c r="AW119" i="5"/>
  <c r="AW171" i="5"/>
  <c r="AW191" i="5"/>
  <c r="AW207" i="5"/>
  <c r="AW160" i="5"/>
  <c r="AW203" i="5"/>
  <c r="AW217" i="5"/>
  <c r="AW228" i="5"/>
  <c r="AW242" i="5"/>
  <c r="AW199" i="5"/>
  <c r="AW234" i="5"/>
  <c r="AW172" i="5"/>
  <c r="AW189" i="5"/>
  <c r="AW201" i="5"/>
  <c r="AW218" i="5"/>
  <c r="AW227" i="5"/>
  <c r="AW163" i="5"/>
  <c r="AW236" i="5"/>
  <c r="AW256" i="5"/>
  <c r="AW278" i="5"/>
  <c r="AW298" i="5"/>
  <c r="AW317" i="5"/>
  <c r="AW330" i="5"/>
  <c r="AW230" i="5"/>
  <c r="AW254" i="5"/>
  <c r="AW265" i="5"/>
  <c r="AW283" i="5"/>
  <c r="AW301" i="5"/>
  <c r="AW314" i="5"/>
  <c r="AW324" i="5"/>
  <c r="AW221" i="5"/>
  <c r="AW258" i="5"/>
  <c r="AW273" i="5"/>
  <c r="AW286" i="5"/>
  <c r="AW299" i="5"/>
  <c r="AW316" i="5"/>
  <c r="AW333" i="5"/>
  <c r="AW353" i="5"/>
  <c r="AW281" i="5"/>
  <c r="AW327" i="5"/>
  <c r="AW346" i="5"/>
  <c r="AW359" i="5"/>
  <c r="AW371" i="5"/>
  <c r="AW384" i="5"/>
  <c r="AW399" i="5"/>
  <c r="AW416" i="5"/>
  <c r="AW8" i="5"/>
  <c r="AW23" i="5"/>
  <c r="AW37" i="5"/>
  <c r="AW29" i="5"/>
  <c r="AW41" i="5"/>
  <c r="AW24" i="5"/>
  <c r="AW39" i="5"/>
  <c r="AW63" i="5"/>
  <c r="AW53" i="5"/>
  <c r="AW66" i="5"/>
  <c r="AW49" i="5"/>
  <c r="AW57" i="5"/>
  <c r="AW75" i="5"/>
  <c r="AW76" i="5"/>
  <c r="AW73" i="5"/>
  <c r="AW91" i="5"/>
  <c r="AW82" i="5"/>
  <c r="AW93" i="5"/>
  <c r="AW104" i="5"/>
  <c r="AW90" i="5"/>
  <c r="AW98" i="5"/>
  <c r="AW103" i="5"/>
  <c r="AW117" i="5"/>
  <c r="AW126" i="5"/>
  <c r="AW146" i="5"/>
  <c r="AW161" i="5"/>
  <c r="AW122" i="5"/>
  <c r="AW134" i="5"/>
  <c r="AW145" i="5"/>
  <c r="AW80" i="5"/>
  <c r="AW108" i="5"/>
  <c r="AW123" i="5"/>
  <c r="AW140" i="5"/>
  <c r="AW151" i="5"/>
  <c r="AW139" i="5"/>
  <c r="AW168" i="5"/>
  <c r="AW185" i="5"/>
  <c r="AW178" i="5"/>
  <c r="AW137" i="5"/>
  <c r="AW182" i="5"/>
  <c r="AW196" i="5"/>
  <c r="AW124" i="5"/>
  <c r="AW162" i="5"/>
  <c r="AW204" i="5"/>
  <c r="AW219" i="5"/>
  <c r="AW235" i="5"/>
  <c r="AW244" i="5"/>
  <c r="AW202" i="5"/>
  <c r="AW237" i="5"/>
  <c r="AW175" i="5"/>
  <c r="AW192" i="5"/>
  <c r="AW206" i="5"/>
  <c r="AW220" i="5"/>
  <c r="AW229" i="5"/>
  <c r="AW208" i="5"/>
  <c r="AW243" i="5"/>
  <c r="AW262" i="5"/>
  <c r="AW284" i="5"/>
  <c r="AW302" i="5"/>
  <c r="AW321" i="5"/>
  <c r="AW331" i="5"/>
  <c r="AW248" i="5"/>
  <c r="AW255" i="5"/>
  <c r="AW268" i="5"/>
  <c r="AW287" i="5"/>
  <c r="AW306" i="5"/>
  <c r="AW315" i="5"/>
  <c r="AW332" i="5"/>
  <c r="AW245" i="5"/>
  <c r="AW260" i="5"/>
  <c r="AW276" i="5"/>
  <c r="AW289" i="5"/>
  <c r="AW304" i="5"/>
  <c r="AW319" i="5"/>
  <c r="AW334" i="5"/>
  <c r="AW355" i="5"/>
  <c r="AW296" i="5"/>
  <c r="AW337" i="5"/>
  <c r="AW350" i="5"/>
  <c r="AW363" i="5"/>
  <c r="AW377" i="5"/>
  <c r="AW389" i="5"/>
  <c r="AW408" i="5"/>
  <c r="AW419" i="5"/>
  <c r="AW434" i="5"/>
  <c r="AW25" i="5"/>
  <c r="AW43" i="5"/>
  <c r="AW30" i="5"/>
  <c r="AW44" i="5"/>
  <c r="AW28" i="5"/>
  <c r="AW42" i="5"/>
  <c r="AW69" i="5"/>
  <c r="AW55" i="5"/>
  <c r="AW27" i="5"/>
  <c r="AW50" i="5"/>
  <c r="AW62" i="5"/>
  <c r="AW79" i="5"/>
  <c r="AW77" i="5"/>
  <c r="AW74" i="5"/>
  <c r="AW67" i="5"/>
  <c r="AW78" i="5"/>
  <c r="AW94" i="5"/>
  <c r="AW109" i="5"/>
  <c r="AW92" i="5"/>
  <c r="AW100" i="5"/>
  <c r="AW106" i="5"/>
  <c r="AW118" i="5"/>
  <c r="AW128" i="5"/>
  <c r="AW149" i="5"/>
  <c r="AW87" i="5"/>
  <c r="AW127" i="5"/>
  <c r="AW136" i="5"/>
  <c r="AW153" i="5"/>
  <c r="AW86" i="5"/>
  <c r="AW110" i="5"/>
  <c r="AW129" i="5"/>
  <c r="AW144" i="5"/>
  <c r="AW154" i="5"/>
  <c r="AW159" i="5"/>
  <c r="AW174" i="5"/>
  <c r="AW186" i="5"/>
  <c r="AW179" i="5"/>
  <c r="AW165" i="5"/>
  <c r="AW184" i="5"/>
  <c r="AW200" i="5"/>
  <c r="AW142" i="5"/>
  <c r="AW194" i="5"/>
  <c r="AW210" i="5"/>
  <c r="AW222" i="5"/>
  <c r="AW238" i="5"/>
  <c r="AW167" i="5"/>
  <c r="AW215" i="5"/>
  <c r="AW239" i="5"/>
  <c r="AW181" i="5"/>
  <c r="AW193" i="5"/>
  <c r="AW209" i="5"/>
  <c r="AW223" i="5"/>
  <c r="AW232" i="5"/>
  <c r="AW211" i="5"/>
  <c r="AW247" i="5"/>
  <c r="AW269" i="5"/>
  <c r="AW290" i="5"/>
  <c r="AW305" i="5"/>
  <c r="AW326" i="5"/>
  <c r="AW177" i="5"/>
  <c r="AW249" i="5"/>
  <c r="AW257" i="5"/>
  <c r="AW275" i="5"/>
  <c r="AW293" i="5"/>
  <c r="AW309" i="5"/>
  <c r="AW320" i="5"/>
  <c r="AW190" i="5"/>
  <c r="AW250" i="5"/>
  <c r="AW267" i="5"/>
  <c r="AW277" i="5"/>
  <c r="AW292" i="5"/>
  <c r="AW308" i="5"/>
  <c r="AW325" i="5"/>
  <c r="AW340" i="5"/>
  <c r="AW212" i="5"/>
  <c r="AW307" i="5"/>
  <c r="AW344" i="5"/>
  <c r="AW356" i="5"/>
  <c r="AW365" i="5"/>
  <c r="AW379" i="5"/>
  <c r="AW390" i="5"/>
  <c r="AW412" i="5"/>
  <c r="AW426" i="5"/>
  <c r="AW318" i="5"/>
  <c r="AW349" i="5"/>
  <c r="AW366" i="5"/>
  <c r="AW394" i="5"/>
  <c r="AW406" i="5"/>
  <c r="AW264" i="5"/>
  <c r="AW343" i="5"/>
  <c r="AW376" i="5"/>
  <c r="AW387" i="5"/>
  <c r="AW401" i="5"/>
  <c r="AW409" i="5"/>
  <c r="AW385" i="5"/>
  <c r="AW440" i="5"/>
  <c r="AW461" i="5"/>
  <c r="AW476" i="5"/>
  <c r="AW482" i="5"/>
  <c r="AW500" i="5"/>
  <c r="AW512" i="5"/>
  <c r="AW288" i="5"/>
  <c r="AW418" i="5"/>
  <c r="AW441" i="5"/>
  <c r="AW451" i="5"/>
  <c r="AW466" i="5"/>
  <c r="AW487" i="5"/>
  <c r="AW494" i="5"/>
  <c r="AW508" i="5"/>
  <c r="AW518" i="5"/>
  <c r="AW335" i="5"/>
  <c r="AW393" i="5"/>
  <c r="AW417" i="5"/>
  <c r="AW425" i="5"/>
  <c r="AW442" i="5"/>
  <c r="AW458" i="5"/>
  <c r="AW483" i="5"/>
  <c r="AW496" i="5"/>
  <c r="AW527" i="5"/>
  <c r="AW538" i="5"/>
  <c r="AW547" i="5"/>
  <c r="AW279" i="5"/>
  <c r="AW423" i="5"/>
  <c r="AW532" i="5"/>
  <c r="AW556" i="5"/>
  <c r="AW516" i="5"/>
  <c r="AW535" i="5"/>
  <c r="AW551" i="5"/>
  <c r="AW383" i="5"/>
  <c r="AW475" i="5"/>
  <c r="AW504" i="5"/>
  <c r="AW555" i="5"/>
  <c r="AW497" i="5"/>
  <c r="AW543" i="5"/>
  <c r="AW432" i="5"/>
  <c r="AW336" i="5"/>
  <c r="AW354" i="5"/>
  <c r="AW374" i="5"/>
  <c r="AW395" i="5"/>
  <c r="AW415" i="5"/>
  <c r="AW300" i="5"/>
  <c r="AW362" i="5"/>
  <c r="AW381" i="5"/>
  <c r="AW391" i="5"/>
  <c r="AW403" i="5"/>
  <c r="AW410" i="5"/>
  <c r="AW428" i="5"/>
  <c r="AW444" i="5"/>
  <c r="AW465" i="5"/>
  <c r="AW477" i="5"/>
  <c r="AW484" i="5"/>
  <c r="AW505" i="5"/>
  <c r="AW519" i="5"/>
  <c r="AW361" i="5"/>
  <c r="AW431" i="5"/>
  <c r="AW443" i="5"/>
  <c r="AW454" i="5"/>
  <c r="AW469" i="5"/>
  <c r="AW488" i="5"/>
  <c r="AW499" i="5"/>
  <c r="AW509" i="5"/>
  <c r="AW520" i="5"/>
  <c r="AW339" i="5"/>
  <c r="AW402" i="5"/>
  <c r="AW421" i="5"/>
  <c r="AW433" i="5"/>
  <c r="AW445" i="5"/>
  <c r="AW460" i="5"/>
  <c r="AW485" i="5"/>
  <c r="AW501" i="5"/>
  <c r="AW533" i="5"/>
  <c r="AW540" i="5"/>
  <c r="AW552" i="5"/>
  <c r="AW285" i="5"/>
  <c r="AW452" i="5"/>
  <c r="AW549" i="5"/>
  <c r="AW369" i="5"/>
  <c r="AW522" i="5"/>
  <c r="AW539" i="5"/>
  <c r="AW554" i="5"/>
  <c r="AW447" i="5"/>
  <c r="AW478" i="5"/>
  <c r="AW515" i="5"/>
  <c r="AW557" i="5"/>
  <c r="AW507" i="5"/>
  <c r="AW545" i="5"/>
  <c r="AW439" i="5"/>
  <c r="AW342" i="5"/>
  <c r="AW358" i="5"/>
  <c r="AW378" i="5"/>
  <c r="AW398" i="5"/>
  <c r="AW420" i="5"/>
  <c r="AW303" i="5"/>
  <c r="AW368" i="5"/>
  <c r="AW382" i="5"/>
  <c r="AW396" i="5"/>
  <c r="AW405" i="5"/>
  <c r="AW338" i="5"/>
  <c r="AW429" i="5"/>
  <c r="AW446" i="5"/>
  <c r="AW467" i="5"/>
  <c r="AW479" i="5"/>
  <c r="AW492" i="5"/>
  <c r="AW506" i="5"/>
  <c r="AW523" i="5"/>
  <c r="AW367" i="5"/>
  <c r="AW436" i="5"/>
  <c r="AW449" i="5"/>
  <c r="AW455" i="5"/>
  <c r="AW473" i="5"/>
  <c r="AW489" i="5"/>
  <c r="AW502" i="5"/>
  <c r="AW510" i="5"/>
  <c r="AW521" i="5"/>
  <c r="AW351" i="5"/>
  <c r="AW411" i="5"/>
  <c r="AW422" i="5"/>
  <c r="AW435" i="5"/>
  <c r="AW448" i="5"/>
  <c r="AW464" i="5"/>
  <c r="AW490" i="5"/>
  <c r="AW517" i="5"/>
  <c r="AW534" i="5"/>
  <c r="AW542" i="5"/>
  <c r="AW558" i="5"/>
  <c r="AW291" i="5"/>
  <c r="AW459" i="5"/>
  <c r="AW550" i="5"/>
  <c r="AW462" i="5"/>
  <c r="AW528" i="5"/>
  <c r="AW541" i="5"/>
  <c r="AW548" i="5"/>
  <c r="AW457" i="5"/>
  <c r="AW486" i="5"/>
  <c r="AW525" i="5"/>
  <c r="AW360" i="5"/>
  <c r="AW514" i="5"/>
  <c r="AW553" i="5"/>
  <c r="AW388" i="5"/>
  <c r="AW372" i="5"/>
  <c r="AW352" i="5"/>
  <c r="AW480" i="5"/>
  <c r="AW373" i="5"/>
  <c r="AW481" i="5"/>
  <c r="AW266" i="5"/>
  <c r="AW437" i="5"/>
  <c r="AW526" i="5"/>
  <c r="AW404" i="5"/>
  <c r="AW530" i="5"/>
  <c r="AW498" i="5"/>
  <c r="AW19" i="5"/>
  <c r="AW274" i="5"/>
  <c r="AW400" i="5"/>
  <c r="AW386" i="5"/>
  <c r="AW430" i="5"/>
  <c r="AW495" i="5"/>
  <c r="AW438" i="5"/>
  <c r="AW493" i="5"/>
  <c r="AW375" i="5"/>
  <c r="AW456" i="5"/>
  <c r="AW536" i="5"/>
  <c r="AW524" i="5"/>
  <c r="AW546" i="5"/>
  <c r="AW531" i="5"/>
  <c r="AW348" i="5"/>
  <c r="AW259" i="5"/>
  <c r="AW397" i="5"/>
  <c r="AW453" i="5"/>
  <c r="AW511" i="5"/>
  <c r="AW450" i="5"/>
  <c r="AW503" i="5"/>
  <c r="AW414" i="5"/>
  <c r="AW472" i="5"/>
  <c r="AW544" i="5"/>
  <c r="AW559" i="5"/>
  <c r="AW560" i="5"/>
  <c r="AW474" i="5"/>
  <c r="AW470" i="5"/>
  <c r="AW424" i="5"/>
  <c r="AW471" i="5"/>
  <c r="AW364" i="5"/>
  <c r="AW537" i="5"/>
  <c r="AW491" i="5"/>
  <c r="AW529" i="5"/>
  <c r="AW323" i="5"/>
  <c r="AW463" i="5"/>
  <c r="AW261" i="5"/>
  <c r="AW407" i="5"/>
  <c r="AW513" i="5"/>
  <c r="AW468" i="5"/>
  <c r="V508" i="5"/>
  <c r="V56" i="5"/>
  <c r="V235" i="5"/>
  <c r="V372" i="5"/>
  <c r="V475" i="5"/>
  <c r="U553" i="5"/>
  <c r="V384" i="5"/>
  <c r="U181" i="5"/>
  <c r="BB309" i="5"/>
  <c r="BA309" i="5"/>
  <c r="BA242" i="5"/>
  <c r="BA134" i="5"/>
  <c r="BB134" i="5"/>
  <c r="BB284" i="5"/>
  <c r="U497" i="5"/>
  <c r="V497" i="5"/>
  <c r="V523" i="5"/>
  <c r="U523" i="5"/>
  <c r="U510" i="5"/>
  <c r="V510" i="5"/>
  <c r="V529" i="5"/>
  <c r="U529" i="5"/>
  <c r="V338" i="5"/>
  <c r="U338" i="5"/>
  <c r="V441" i="5"/>
  <c r="U441" i="5"/>
  <c r="U253" i="5"/>
  <c r="U120" i="5"/>
  <c r="V120" i="5"/>
  <c r="U48" i="5"/>
  <c r="V48" i="5"/>
  <c r="V369" i="5"/>
  <c r="U369" i="5"/>
  <c r="V266" i="5"/>
  <c r="U266" i="5"/>
  <c r="U128" i="5"/>
  <c r="V128" i="5"/>
  <c r="U135" i="5"/>
  <c r="V135" i="5"/>
  <c r="V196" i="5"/>
  <c r="U196" i="5"/>
  <c r="U138" i="5"/>
  <c r="V138" i="5"/>
  <c r="V107" i="5"/>
  <c r="U107" i="5"/>
  <c r="U8" i="5"/>
  <c r="V8" i="5"/>
  <c r="U318" i="5"/>
  <c r="BB283" i="5"/>
  <c r="BA283" i="5"/>
  <c r="BA219" i="5"/>
  <c r="BB219" i="5"/>
  <c r="BA221" i="5"/>
  <c r="BB197" i="5"/>
  <c r="BA197" i="5"/>
  <c r="BA81" i="5"/>
  <c r="BB80" i="5"/>
  <c r="BA80" i="5"/>
  <c r="BB68" i="5"/>
  <c r="BB43" i="5"/>
  <c r="BA352" i="5"/>
  <c r="BB352" i="5"/>
  <c r="BB295" i="5"/>
  <c r="BA163" i="5"/>
  <c r="BB163" i="5"/>
  <c r="BB154" i="5"/>
  <c r="BA154" i="5"/>
  <c r="BB86" i="5"/>
  <c r="BA84" i="5"/>
  <c r="BB84" i="5"/>
  <c r="BA346" i="5"/>
  <c r="BB346" i="5"/>
  <c r="BA232" i="5"/>
  <c r="BA113" i="5"/>
  <c r="BB113" i="5"/>
  <c r="BB112" i="5"/>
  <c r="BA112" i="5"/>
  <c r="BA71" i="5"/>
  <c r="BB71" i="5"/>
  <c r="BB48" i="5"/>
  <c r="U419" i="5"/>
  <c r="V419" i="5"/>
  <c r="U543" i="5"/>
  <c r="V543" i="5"/>
  <c r="V483" i="5"/>
  <c r="U483" i="5"/>
  <c r="U227" i="5"/>
  <c r="U444" i="5"/>
  <c r="V444" i="5"/>
  <c r="V436" i="5"/>
  <c r="U436" i="5"/>
  <c r="V479" i="5"/>
  <c r="U479" i="5"/>
  <c r="V534" i="5"/>
  <c r="U534" i="5"/>
  <c r="U489" i="5"/>
  <c r="V489" i="5"/>
  <c r="U401" i="5"/>
  <c r="V401" i="5"/>
  <c r="U474" i="5"/>
  <c r="V474" i="5"/>
  <c r="U365" i="5"/>
  <c r="V365" i="5"/>
  <c r="U298" i="5"/>
  <c r="V298" i="5"/>
  <c r="U208" i="5"/>
  <c r="V208" i="5"/>
  <c r="V55" i="5"/>
  <c r="U55" i="5"/>
  <c r="V558" i="5"/>
  <c r="U558" i="5"/>
  <c r="U426" i="5"/>
  <c r="V426" i="5"/>
  <c r="U346" i="5"/>
  <c r="V346" i="5"/>
  <c r="U467" i="5"/>
  <c r="U358" i="5"/>
  <c r="V358" i="5"/>
  <c r="U453" i="5"/>
  <c r="U447" i="5"/>
  <c r="V447" i="5"/>
  <c r="V376" i="5"/>
  <c r="U376" i="5"/>
  <c r="V292" i="5"/>
  <c r="U292" i="5"/>
  <c r="U177" i="5"/>
  <c r="V177" i="5"/>
  <c r="U28" i="5"/>
  <c r="V28" i="5"/>
  <c r="U449" i="5"/>
  <c r="V449" i="5"/>
  <c r="U550" i="5"/>
  <c r="V550" i="5"/>
  <c r="U538" i="5"/>
  <c r="V538" i="5"/>
  <c r="U446" i="5"/>
  <c r="V446" i="5"/>
  <c r="U533" i="5"/>
  <c r="V533" i="5"/>
  <c r="U357" i="5"/>
  <c r="V357" i="5"/>
  <c r="U367" i="5"/>
  <c r="V367" i="5"/>
  <c r="U141" i="5"/>
  <c r="U392" i="5"/>
  <c r="V392" i="5"/>
  <c r="V418" i="5"/>
  <c r="U418" i="5"/>
  <c r="U433" i="5"/>
  <c r="V433" i="5"/>
  <c r="U307" i="5"/>
  <c r="V307" i="5"/>
  <c r="U160" i="5"/>
  <c r="V160" i="5"/>
  <c r="U314" i="5"/>
  <c r="V314" i="5"/>
  <c r="U219" i="5"/>
  <c r="V219" i="5"/>
  <c r="U220" i="5"/>
  <c r="V220" i="5"/>
  <c r="V184" i="5"/>
  <c r="V104" i="5"/>
  <c r="U104" i="5"/>
  <c r="U110" i="5"/>
  <c r="V110" i="5"/>
  <c r="U71" i="5"/>
  <c r="V71" i="5"/>
  <c r="U45" i="5"/>
  <c r="V45" i="5"/>
  <c r="U424" i="5"/>
  <c r="V424" i="5"/>
  <c r="U337" i="5"/>
  <c r="V337" i="5"/>
  <c r="V305" i="5"/>
  <c r="U305" i="5"/>
  <c r="U328" i="5"/>
  <c r="V328" i="5"/>
  <c r="U213" i="5"/>
  <c r="V213" i="5"/>
  <c r="U182" i="5"/>
  <c r="U75" i="5"/>
  <c r="V75" i="5"/>
  <c r="U68" i="5"/>
  <c r="V68" i="5"/>
  <c r="U42" i="5"/>
  <c r="V42" i="5"/>
  <c r="U469" i="5"/>
  <c r="V469" i="5"/>
  <c r="V552" i="5"/>
  <c r="U552" i="5"/>
  <c r="V344" i="5"/>
  <c r="U344" i="5"/>
  <c r="V486" i="5"/>
  <c r="U486" i="5"/>
  <c r="U422" i="5"/>
  <c r="V422" i="5"/>
  <c r="V472" i="5"/>
  <c r="U472" i="5"/>
  <c r="U404" i="5"/>
  <c r="V404" i="5"/>
  <c r="V228" i="5"/>
  <c r="U228" i="5"/>
  <c r="U437" i="5"/>
  <c r="V437" i="5"/>
  <c r="U321" i="5"/>
  <c r="V321" i="5"/>
  <c r="U332" i="5"/>
  <c r="V332" i="5"/>
  <c r="V233" i="5"/>
  <c r="U233" i="5"/>
  <c r="V158" i="5"/>
  <c r="U158" i="5"/>
  <c r="V113" i="5"/>
  <c r="U113" i="5"/>
  <c r="U77" i="5"/>
  <c r="V498" i="5"/>
  <c r="U498" i="5"/>
  <c r="V438" i="5"/>
  <c r="U438" i="5"/>
  <c r="U499" i="5"/>
  <c r="V499" i="5"/>
  <c r="U428" i="5"/>
  <c r="V428" i="5"/>
  <c r="V195" i="5"/>
  <c r="U195" i="5"/>
  <c r="V341" i="5"/>
  <c r="U341" i="5"/>
  <c r="U315" i="5"/>
  <c r="V315" i="5"/>
  <c r="V261" i="5"/>
  <c r="U261" i="5"/>
  <c r="U299" i="5"/>
  <c r="V299" i="5"/>
  <c r="U322" i="5"/>
  <c r="V322" i="5"/>
  <c r="V229" i="5"/>
  <c r="U229" i="5"/>
  <c r="V224" i="5"/>
  <c r="U224" i="5"/>
  <c r="V204" i="5"/>
  <c r="U204" i="5"/>
  <c r="V100" i="5"/>
  <c r="U100" i="5"/>
  <c r="V173" i="5"/>
  <c r="V115" i="5"/>
  <c r="U115" i="5"/>
  <c r="V109" i="5"/>
  <c r="U109" i="5"/>
  <c r="V87" i="5"/>
  <c r="U87" i="5"/>
  <c r="V69" i="5"/>
  <c r="U69" i="5"/>
  <c r="V80" i="5"/>
  <c r="V33" i="5"/>
  <c r="U33" i="5"/>
  <c r="V34" i="5"/>
  <c r="U34" i="5"/>
  <c r="U276" i="5"/>
  <c r="V276" i="5"/>
  <c r="U252" i="5"/>
  <c r="V252" i="5"/>
  <c r="U211" i="5"/>
  <c r="V211" i="5"/>
  <c r="V169" i="5"/>
  <c r="U169" i="5"/>
  <c r="U155" i="5"/>
  <c r="V155" i="5"/>
  <c r="U64" i="5"/>
  <c r="V64" i="5"/>
  <c r="BA344" i="5"/>
  <c r="BB344" i="5"/>
  <c r="BA256" i="5"/>
  <c r="BB351" i="5"/>
  <c r="BA351" i="5"/>
  <c r="BB269" i="5"/>
  <c r="BA191" i="5"/>
  <c r="BA251" i="5"/>
  <c r="BB251" i="5"/>
  <c r="BA223" i="5"/>
  <c r="BB223" i="5"/>
  <c r="BB141" i="5"/>
  <c r="BA141" i="5"/>
  <c r="BB114" i="5"/>
  <c r="BA114" i="5"/>
  <c r="U350" i="5"/>
  <c r="V350" i="5"/>
  <c r="V413" i="5"/>
  <c r="U413" i="5"/>
  <c r="U304" i="5"/>
  <c r="V304" i="5"/>
  <c r="U191" i="5"/>
  <c r="V191" i="5"/>
  <c r="U395" i="5"/>
  <c r="V395" i="5"/>
  <c r="V355" i="5"/>
  <c r="U355" i="5"/>
  <c r="V206" i="5"/>
  <c r="U206" i="5"/>
  <c r="V317" i="5"/>
  <c r="U317" i="5"/>
  <c r="V297" i="5"/>
  <c r="U297" i="5"/>
  <c r="V153" i="5"/>
  <c r="U153" i="5"/>
  <c r="U179" i="5"/>
  <c r="U78" i="5"/>
  <c r="V78" i="5"/>
  <c r="V326" i="5"/>
  <c r="U326" i="5"/>
  <c r="V143" i="5"/>
  <c r="U143" i="5"/>
  <c r="U73" i="5"/>
  <c r="U440" i="5"/>
  <c r="V440" i="5"/>
  <c r="U493" i="5"/>
  <c r="V493" i="5"/>
  <c r="U378" i="5"/>
  <c r="V264" i="5"/>
  <c r="U264" i="5"/>
  <c r="V193" i="5"/>
  <c r="U193" i="5"/>
  <c r="V147" i="5"/>
  <c r="U147" i="5"/>
  <c r="V54" i="5"/>
  <c r="U54" i="5"/>
  <c r="V513" i="5"/>
  <c r="U513" i="5"/>
  <c r="U415" i="5"/>
  <c r="V415" i="5"/>
  <c r="U271" i="5"/>
  <c r="V271" i="5"/>
  <c r="V243" i="5"/>
  <c r="U243" i="5"/>
  <c r="U172" i="5"/>
  <c r="V172" i="5"/>
  <c r="U59" i="5"/>
  <c r="U44" i="5"/>
  <c r="V44" i="5"/>
  <c r="V221" i="5"/>
  <c r="U223" i="5"/>
  <c r="V223" i="5"/>
  <c r="V171" i="5"/>
  <c r="U171" i="5"/>
  <c r="V106" i="5"/>
  <c r="U106" i="5"/>
  <c r="V76" i="5"/>
  <c r="U30" i="5"/>
  <c r="V30" i="5"/>
  <c r="AJ93" i="5"/>
  <c r="AJ49" i="5"/>
  <c r="AL49" i="5" s="1"/>
  <c r="AJ105" i="5"/>
  <c r="AK105" i="5" s="1"/>
  <c r="AJ75" i="5"/>
  <c r="AL75" i="5" s="1"/>
  <c r="AJ188" i="5"/>
  <c r="AK188" i="5" s="1"/>
  <c r="AJ146" i="5"/>
  <c r="AJ77" i="5"/>
  <c r="AK77" i="5" s="1"/>
  <c r="AJ169" i="5"/>
  <c r="AJ195" i="5"/>
  <c r="AL195" i="5" s="1"/>
  <c r="AJ156" i="5"/>
  <c r="AL156" i="5" s="1"/>
  <c r="AJ87" i="5"/>
  <c r="AK87" i="5" s="1"/>
  <c r="AJ24" i="5"/>
  <c r="AL24" i="5" s="1"/>
  <c r="AJ44" i="5"/>
  <c r="AK44" i="5" s="1"/>
  <c r="V201" i="5"/>
  <c r="V275" i="5"/>
  <c r="BA261" i="5"/>
  <c r="BB261" i="5"/>
  <c r="BB199" i="5"/>
  <c r="BA199" i="5"/>
  <c r="BB208" i="5"/>
  <c r="BA168" i="5"/>
  <c r="BB168" i="5"/>
  <c r="BA97" i="5"/>
  <c r="BB97" i="5"/>
  <c r="BA61" i="5"/>
  <c r="BB26" i="5"/>
  <c r="BB266" i="5"/>
  <c r="BA266" i="5"/>
  <c r="BB202" i="5"/>
  <c r="BA202" i="5"/>
  <c r="BB183" i="5"/>
  <c r="BA183" i="5"/>
  <c r="BB138" i="5"/>
  <c r="BA74" i="5"/>
  <c r="BB74" i="5"/>
  <c r="BB234" i="5"/>
  <c r="BA234" i="5"/>
  <c r="BA222" i="5"/>
  <c r="BB222" i="5"/>
  <c r="BA198" i="5"/>
  <c r="BA176" i="5"/>
  <c r="BB176" i="5"/>
  <c r="BB160" i="5"/>
  <c r="BA82" i="5"/>
  <c r="BB82" i="5"/>
  <c r="BB73" i="5"/>
  <c r="BA20" i="5"/>
  <c r="BB20" i="5"/>
  <c r="U503" i="5"/>
  <c r="V503" i="5"/>
  <c r="V494" i="5"/>
  <c r="U494" i="5"/>
  <c r="U74" i="5"/>
  <c r="V74" i="5"/>
  <c r="U477" i="5"/>
  <c r="V477" i="5"/>
  <c r="V547" i="5"/>
  <c r="U547" i="5"/>
  <c r="U521" i="5"/>
  <c r="V521" i="5"/>
  <c r="U327" i="5"/>
  <c r="V327" i="5"/>
  <c r="V352" i="5"/>
  <c r="U352" i="5"/>
  <c r="U360" i="5"/>
  <c r="V360" i="5"/>
  <c r="V391" i="5"/>
  <c r="U391" i="5"/>
  <c r="U323" i="5"/>
  <c r="V323" i="5"/>
  <c r="U140" i="5"/>
  <c r="V140" i="5"/>
  <c r="V27" i="5"/>
  <c r="U27" i="5"/>
  <c r="U541" i="5"/>
  <c r="V541" i="5"/>
  <c r="V556" i="5"/>
  <c r="U556" i="5"/>
  <c r="V452" i="5"/>
  <c r="V517" i="5"/>
  <c r="U517" i="5"/>
  <c r="V370" i="5"/>
  <c r="U370" i="5"/>
  <c r="U393" i="5"/>
  <c r="V393" i="5"/>
  <c r="V265" i="5"/>
  <c r="U265" i="5"/>
  <c r="U112" i="5"/>
  <c r="V112" i="5"/>
  <c r="V551" i="5"/>
  <c r="U551" i="5"/>
  <c r="U540" i="5"/>
  <c r="V540" i="5"/>
  <c r="V416" i="5"/>
  <c r="U416" i="5"/>
  <c r="U507" i="5"/>
  <c r="V507" i="5"/>
  <c r="V388" i="5"/>
  <c r="U388" i="5"/>
  <c r="U166" i="5"/>
  <c r="V166" i="5"/>
  <c r="U373" i="5"/>
  <c r="V373" i="5"/>
  <c r="V389" i="5"/>
  <c r="U389" i="5"/>
  <c r="V410" i="5"/>
  <c r="U410" i="5"/>
  <c r="V309" i="5"/>
  <c r="U309" i="5"/>
  <c r="U168" i="5"/>
  <c r="V168" i="5"/>
  <c r="U202" i="5"/>
  <c r="V202" i="5"/>
  <c r="V111" i="5"/>
  <c r="U111" i="5"/>
  <c r="U129" i="5"/>
  <c r="V129" i="5"/>
  <c r="U72" i="5"/>
  <c r="V72" i="5"/>
  <c r="U65" i="5"/>
  <c r="V65" i="5"/>
  <c r="U21" i="5"/>
  <c r="V405" i="5"/>
  <c r="U405" i="5"/>
  <c r="U286" i="5"/>
  <c r="V286" i="5"/>
  <c r="U311" i="5"/>
  <c r="V311" i="5"/>
  <c r="U277" i="5"/>
  <c r="V277" i="5"/>
  <c r="V157" i="5"/>
  <c r="U157" i="5"/>
  <c r="U200" i="5"/>
  <c r="V200" i="5"/>
  <c r="V86" i="5"/>
  <c r="U86" i="5"/>
  <c r="U124" i="5"/>
  <c r="V124" i="5"/>
  <c r="U60" i="5"/>
  <c r="V60" i="5"/>
  <c r="U62" i="5"/>
  <c r="V62" i="5"/>
  <c r="U46" i="5"/>
  <c r="V46" i="5"/>
  <c r="U559" i="5"/>
  <c r="V559" i="5"/>
  <c r="U524" i="5"/>
  <c r="V524" i="5"/>
  <c r="V545" i="5"/>
  <c r="V557" i="5"/>
  <c r="U557" i="5"/>
  <c r="V470" i="5"/>
  <c r="U470" i="5"/>
  <c r="U398" i="5"/>
  <c r="V398" i="5"/>
  <c r="V500" i="5"/>
  <c r="U500" i="5"/>
  <c r="V339" i="5"/>
  <c r="V448" i="5"/>
  <c r="U448" i="5"/>
  <c r="U383" i="5"/>
  <c r="V383" i="5"/>
  <c r="V329" i="5"/>
  <c r="U325" i="5"/>
  <c r="V325" i="5"/>
  <c r="V295" i="5"/>
  <c r="U295" i="5"/>
  <c r="V192" i="5"/>
  <c r="U192" i="5"/>
  <c r="V209" i="5"/>
  <c r="U209" i="5"/>
  <c r="V163" i="5"/>
  <c r="U163" i="5"/>
  <c r="V148" i="5"/>
  <c r="U148" i="5"/>
  <c r="V90" i="5"/>
  <c r="U90" i="5"/>
  <c r="U58" i="5"/>
  <c r="V58" i="5"/>
  <c r="U347" i="5"/>
  <c r="V347" i="5"/>
  <c r="U478" i="5"/>
  <c r="V478" i="5"/>
  <c r="U324" i="5"/>
  <c r="V324" i="5"/>
  <c r="V407" i="5"/>
  <c r="U407" i="5"/>
  <c r="V381" i="5"/>
  <c r="U381" i="5"/>
  <c r="V283" i="5"/>
  <c r="U283" i="5"/>
  <c r="V284" i="5"/>
  <c r="U284" i="5"/>
  <c r="V306" i="5"/>
  <c r="U306" i="5"/>
  <c r="U254" i="5"/>
  <c r="V254" i="5"/>
  <c r="U212" i="5"/>
  <c r="V212" i="5"/>
  <c r="V215" i="5"/>
  <c r="U215" i="5"/>
  <c r="U194" i="5"/>
  <c r="V194" i="5"/>
  <c r="U170" i="5"/>
  <c r="V170" i="5"/>
  <c r="V156" i="5"/>
  <c r="U156" i="5"/>
  <c r="U101" i="5"/>
  <c r="V101" i="5"/>
  <c r="U94" i="5"/>
  <c r="V94" i="5"/>
  <c r="U70" i="5"/>
  <c r="V70" i="5"/>
  <c r="U39" i="5"/>
  <c r="V39" i="5"/>
  <c r="V250" i="5"/>
  <c r="U250" i="5"/>
  <c r="U150" i="5"/>
  <c r="V150" i="5"/>
  <c r="U131" i="5"/>
  <c r="V131" i="5"/>
  <c r="U67" i="5"/>
  <c r="V67" i="5"/>
  <c r="U41" i="5"/>
  <c r="V41" i="5"/>
  <c r="BA302" i="5"/>
  <c r="BB302" i="5"/>
  <c r="BA282" i="5"/>
  <c r="BB282" i="5"/>
  <c r="BA236" i="5"/>
  <c r="BA115" i="5"/>
  <c r="BB115" i="5"/>
  <c r="BB83" i="5"/>
  <c r="BB288" i="5"/>
  <c r="BA288" i="5"/>
  <c r="BB179" i="5"/>
  <c r="BA314" i="5"/>
  <c r="BB314" i="5"/>
  <c r="BA300" i="5"/>
  <c r="V531" i="5"/>
  <c r="U531" i="5"/>
  <c r="V310" i="5"/>
  <c r="U310" i="5"/>
  <c r="V154" i="5"/>
  <c r="U154" i="5"/>
  <c r="V432" i="5"/>
  <c r="U432" i="5"/>
  <c r="V546" i="5"/>
  <c r="U546" i="5"/>
  <c r="U501" i="5"/>
  <c r="V501" i="5"/>
  <c r="U408" i="5"/>
  <c r="V408" i="5"/>
  <c r="V476" i="5"/>
  <c r="U476" i="5"/>
  <c r="V487" i="5"/>
  <c r="U487" i="5"/>
  <c r="V481" i="5"/>
  <c r="V281" i="5"/>
  <c r="U281" i="5"/>
  <c r="U549" i="5"/>
  <c r="V463" i="5"/>
  <c r="U463" i="5"/>
  <c r="V431" i="5"/>
  <c r="U258" i="5"/>
  <c r="V258" i="5"/>
  <c r="U366" i="5"/>
  <c r="V366" i="5"/>
  <c r="U244" i="5"/>
  <c r="V244" i="5"/>
  <c r="U144" i="5"/>
  <c r="V144" i="5"/>
  <c r="U132" i="5"/>
  <c r="V132" i="5"/>
  <c r="V272" i="5"/>
  <c r="U272" i="5"/>
  <c r="U237" i="5"/>
  <c r="V237" i="5"/>
  <c r="V127" i="5"/>
  <c r="U127" i="5"/>
  <c r="U502" i="5"/>
  <c r="V502" i="5"/>
  <c r="U406" i="5"/>
  <c r="V406" i="5"/>
  <c r="V439" i="5"/>
  <c r="U439" i="5"/>
  <c r="V336" i="5"/>
  <c r="U336" i="5"/>
  <c r="V249" i="5"/>
  <c r="U249" i="5"/>
  <c r="U81" i="5"/>
  <c r="V81" i="5"/>
  <c r="U456" i="5"/>
  <c r="V456" i="5"/>
  <c r="V443" i="5"/>
  <c r="U443" i="5"/>
  <c r="U375" i="5"/>
  <c r="V375" i="5"/>
  <c r="U345" i="5"/>
  <c r="V345" i="5"/>
  <c r="U316" i="5"/>
  <c r="V316" i="5"/>
  <c r="U245" i="5"/>
  <c r="V245" i="5"/>
  <c r="U126" i="5"/>
  <c r="V126" i="5"/>
  <c r="V61" i="5"/>
  <c r="U47" i="5"/>
  <c r="V47" i="5"/>
  <c r="U114" i="5"/>
  <c r="V114" i="5"/>
  <c r="AJ28" i="5"/>
  <c r="AL28" i="5" s="1"/>
  <c r="AJ158" i="5"/>
  <c r="AL158" i="5" s="1"/>
  <c r="AJ27" i="5"/>
  <c r="AK27" i="5" s="1"/>
  <c r="AJ164" i="5"/>
  <c r="AL164" i="5" s="1"/>
  <c r="AJ40" i="5"/>
  <c r="AL40" i="5" s="1"/>
  <c r="AJ174" i="5"/>
  <c r="AL174" i="5" s="1"/>
  <c r="AJ125" i="5"/>
  <c r="AK125" i="5" s="1"/>
  <c r="AJ61" i="5"/>
  <c r="AJ153" i="5"/>
  <c r="AK153" i="5" s="1"/>
  <c r="AJ184" i="5"/>
  <c r="AK184" i="5" s="1"/>
  <c r="AJ143" i="5"/>
  <c r="AL143" i="5" s="1"/>
  <c r="AJ71" i="5"/>
  <c r="AJ165" i="5"/>
  <c r="AK165" i="5" s="1"/>
  <c r="AJ138" i="5"/>
  <c r="AK138" i="5" s="1"/>
  <c r="V412" i="5"/>
  <c r="V222" i="5"/>
  <c r="U37" i="5"/>
  <c r="U362" i="5"/>
  <c r="BA278" i="5"/>
  <c r="BB278" i="5"/>
  <c r="BB220" i="5"/>
  <c r="BA220" i="5"/>
  <c r="BB194" i="5"/>
  <c r="BA194" i="5"/>
  <c r="BA171" i="5"/>
  <c r="BB171" i="5"/>
  <c r="BA116" i="5"/>
  <c r="BB116" i="5"/>
  <c r="BA127" i="5"/>
  <c r="BB127" i="5"/>
  <c r="BA123" i="5"/>
  <c r="BB123" i="5"/>
  <c r="BB110" i="5"/>
  <c r="BB91" i="5"/>
  <c r="BA91" i="5"/>
  <c r="BA24" i="5"/>
  <c r="BB24" i="5"/>
  <c r="BA393" i="5"/>
  <c r="BB393" i="5"/>
  <c r="BA255" i="5"/>
  <c r="BB255" i="5"/>
  <c r="BA290" i="5"/>
  <c r="BB290" i="5"/>
  <c r="BA246" i="5"/>
  <c r="BB246" i="5"/>
  <c r="BA184" i="5"/>
  <c r="BA196" i="5"/>
  <c r="BB196" i="5"/>
  <c r="BA190" i="5"/>
  <c r="BB190" i="5"/>
  <c r="BA139" i="5"/>
  <c r="BB139" i="5"/>
  <c r="BB126" i="5"/>
  <c r="BB121" i="5"/>
  <c r="BA121" i="5"/>
  <c r="BA95" i="5"/>
  <c r="BB95" i="5"/>
  <c r="BB59" i="5"/>
  <c r="BA59" i="5"/>
  <c r="BB265" i="5"/>
  <c r="BA265" i="5"/>
  <c r="BB318" i="5"/>
  <c r="BA318" i="5"/>
  <c r="BB200" i="5"/>
  <c r="BA200" i="5"/>
  <c r="BB211" i="5"/>
  <c r="BA211" i="5"/>
  <c r="BA164" i="5"/>
  <c r="BB164" i="5"/>
  <c r="BB140" i="5"/>
  <c r="BA140" i="5"/>
  <c r="BB98" i="5"/>
  <c r="BA98" i="5"/>
  <c r="BB60" i="5"/>
  <c r="BA60" i="5"/>
  <c r="BA27" i="5"/>
  <c r="BB27" i="5"/>
  <c r="V435" i="5"/>
  <c r="U435" i="5"/>
  <c r="V230" i="5"/>
  <c r="U230" i="5"/>
  <c r="U93" i="5"/>
  <c r="V93" i="5"/>
  <c r="V379" i="5"/>
  <c r="U379" i="5"/>
  <c r="U423" i="5"/>
  <c r="V423" i="5"/>
  <c r="V226" i="5"/>
  <c r="U226" i="5"/>
  <c r="V427" i="5"/>
  <c r="U427" i="5"/>
  <c r="U119" i="5"/>
  <c r="V119" i="5"/>
  <c r="U530" i="5"/>
  <c r="V530" i="5"/>
  <c r="U544" i="5"/>
  <c r="V544" i="5"/>
  <c r="V519" i="5"/>
  <c r="U519" i="5"/>
  <c r="U351" i="5"/>
  <c r="V351" i="5"/>
  <c r="U420" i="5"/>
  <c r="V289" i="5"/>
  <c r="U289" i="5"/>
  <c r="U142" i="5"/>
  <c r="V142" i="5"/>
  <c r="U506" i="5"/>
  <c r="V506" i="5"/>
  <c r="V425" i="5"/>
  <c r="V496" i="5"/>
  <c r="U496" i="5"/>
  <c r="V267" i="5"/>
  <c r="U267" i="5"/>
  <c r="V232" i="5"/>
  <c r="U232" i="5"/>
  <c r="V95" i="5"/>
  <c r="U95" i="5"/>
  <c r="V445" i="5"/>
  <c r="U445" i="5"/>
  <c r="V482" i="5"/>
  <c r="U482" i="5"/>
  <c r="V377" i="5"/>
  <c r="U377" i="5"/>
  <c r="U319" i="5"/>
  <c r="V319" i="5"/>
  <c r="U259" i="5"/>
  <c r="V259" i="5"/>
  <c r="V186" i="5"/>
  <c r="U186" i="5"/>
  <c r="U53" i="5"/>
  <c r="V53" i="5"/>
  <c r="V390" i="5"/>
  <c r="U390" i="5"/>
  <c r="U262" i="5"/>
  <c r="V262" i="5"/>
  <c r="V269" i="5"/>
  <c r="U269" i="5"/>
  <c r="V257" i="5"/>
  <c r="U257" i="5"/>
  <c r="U217" i="5"/>
  <c r="V217" i="5"/>
  <c r="U198" i="5"/>
  <c r="V198" i="5"/>
  <c r="U167" i="5"/>
  <c r="V167" i="5"/>
  <c r="U103" i="5"/>
  <c r="V103" i="5"/>
  <c r="U97" i="5"/>
  <c r="V97" i="5"/>
  <c r="U23" i="5"/>
  <c r="V23" i="5"/>
  <c r="U340" i="5"/>
  <c r="V340" i="5"/>
  <c r="U371" i="5"/>
  <c r="V371" i="5"/>
  <c r="U387" i="5"/>
  <c r="V387" i="5"/>
  <c r="V354" i="5"/>
  <c r="U354" i="5"/>
  <c r="V268" i="5"/>
  <c r="U268" i="5"/>
  <c r="V288" i="5"/>
  <c r="U288" i="5"/>
  <c r="U255" i="5"/>
  <c r="V255" i="5"/>
  <c r="U216" i="5"/>
  <c r="V216" i="5"/>
  <c r="U197" i="5"/>
  <c r="V197" i="5"/>
  <c r="V165" i="5"/>
  <c r="U165" i="5"/>
  <c r="U99" i="5"/>
  <c r="V99" i="5"/>
  <c r="U96" i="5"/>
  <c r="V96" i="5"/>
  <c r="U20" i="5"/>
  <c r="V20" i="5"/>
  <c r="U19" i="5"/>
  <c r="V19" i="5"/>
  <c r="V535" i="5"/>
  <c r="U535" i="5"/>
  <c r="U536" i="5"/>
  <c r="V536" i="5"/>
  <c r="U526" i="5"/>
  <c r="V526" i="5"/>
  <c r="V457" i="5"/>
  <c r="U457" i="5"/>
  <c r="V368" i="5"/>
  <c r="U368" i="5"/>
  <c r="U516" i="5"/>
  <c r="V516" i="5"/>
  <c r="V430" i="5"/>
  <c r="U361" i="5"/>
  <c r="V361" i="5"/>
  <c r="V380" i="5"/>
  <c r="U380" i="5"/>
  <c r="V403" i="5"/>
  <c r="U403" i="5"/>
  <c r="U280" i="5"/>
  <c r="V280" i="5"/>
  <c r="V285" i="5"/>
  <c r="U285" i="5"/>
  <c r="V302" i="5"/>
  <c r="U302" i="5"/>
  <c r="V270" i="5"/>
  <c r="U270" i="5"/>
  <c r="V238" i="5"/>
  <c r="U238" i="5"/>
  <c r="V164" i="5"/>
  <c r="U164" i="5"/>
  <c r="V116" i="5"/>
  <c r="U116" i="5"/>
  <c r="V102" i="5"/>
  <c r="U102" i="5"/>
  <c r="V29" i="5"/>
  <c r="U29" i="5"/>
  <c r="V532" i="5"/>
  <c r="U532" i="5"/>
  <c r="V411" i="5"/>
  <c r="U411" i="5"/>
  <c r="U348" i="5"/>
  <c r="V348" i="5"/>
  <c r="U386" i="5"/>
  <c r="U429" i="5"/>
  <c r="V429" i="5"/>
  <c r="U364" i="5"/>
  <c r="V364" i="5"/>
  <c r="U356" i="5"/>
  <c r="V356" i="5"/>
  <c r="U293" i="5"/>
  <c r="V293" i="5"/>
  <c r="V251" i="5"/>
  <c r="U251" i="5"/>
  <c r="U282" i="5"/>
  <c r="V282" i="5"/>
  <c r="V241" i="5"/>
  <c r="U241" i="5"/>
  <c r="V205" i="5"/>
  <c r="U205" i="5"/>
  <c r="U185" i="5"/>
  <c r="V185" i="5"/>
  <c r="V133" i="5"/>
  <c r="U133" i="5"/>
  <c r="V152" i="5"/>
  <c r="U152" i="5"/>
  <c r="V139" i="5"/>
  <c r="U139" i="5"/>
  <c r="V85" i="5"/>
  <c r="U85" i="5"/>
  <c r="V92" i="5"/>
  <c r="U92" i="5"/>
  <c r="U26" i="5"/>
  <c r="V26" i="5"/>
  <c r="V334" i="5"/>
  <c r="U334" i="5"/>
  <c r="V273" i="5"/>
  <c r="U273" i="5"/>
  <c r="U188" i="5"/>
  <c r="V188" i="5"/>
  <c r="V161" i="5"/>
  <c r="U161" i="5"/>
  <c r="U117" i="5"/>
  <c r="V117" i="5"/>
  <c r="U105" i="5"/>
  <c r="V105" i="5"/>
  <c r="U57" i="5"/>
  <c r="V57" i="5"/>
  <c r="AJ33" i="5"/>
  <c r="AJ141" i="5"/>
  <c r="AJ29" i="5"/>
  <c r="AJ64" i="5"/>
  <c r="AJ97" i="5"/>
  <c r="AJ129" i="5"/>
  <c r="AJ160" i="5"/>
  <c r="AJ176" i="5"/>
  <c r="AJ62" i="5"/>
  <c r="AJ185" i="5"/>
  <c r="AJ203" i="5"/>
  <c r="AJ219" i="5"/>
  <c r="AJ233" i="5"/>
  <c r="AJ255" i="5"/>
  <c r="AJ270" i="5"/>
  <c r="AJ286" i="5"/>
  <c r="AJ302" i="5"/>
  <c r="AJ319" i="5"/>
  <c r="AJ55" i="5"/>
  <c r="AJ107" i="5"/>
  <c r="AJ139" i="5"/>
  <c r="AJ186" i="5"/>
  <c r="AJ202" i="5"/>
  <c r="AJ218" i="5"/>
  <c r="AJ235" i="5"/>
  <c r="AJ20" i="5"/>
  <c r="AJ67" i="5"/>
  <c r="AJ193" i="5"/>
  <c r="AJ212" i="5"/>
  <c r="AJ231" i="5"/>
  <c r="AJ244" i="5"/>
  <c r="AJ252" i="5"/>
  <c r="AJ260" i="5"/>
  <c r="AJ276" i="5"/>
  <c r="AJ292" i="5"/>
  <c r="AJ308" i="5"/>
  <c r="AJ324" i="5"/>
  <c r="AJ194" i="5"/>
  <c r="AJ264" i="5"/>
  <c r="AJ296" i="5"/>
  <c r="AJ321" i="5"/>
  <c r="AJ339" i="5"/>
  <c r="AJ355" i="5"/>
  <c r="AJ371" i="5"/>
  <c r="AJ383" i="5"/>
  <c r="AJ396" i="5"/>
  <c r="AJ462" i="5"/>
  <c r="AJ478" i="5"/>
  <c r="AJ494" i="5"/>
  <c r="AJ509" i="5"/>
  <c r="AJ519" i="5"/>
  <c r="AJ529" i="5"/>
  <c r="AJ543" i="5"/>
  <c r="AJ559" i="5"/>
  <c r="AJ127" i="5"/>
  <c r="AJ221" i="5"/>
  <c r="AJ269" i="5"/>
  <c r="AJ301" i="5"/>
  <c r="AJ318" i="5"/>
  <c r="AJ333" i="5"/>
  <c r="AJ349" i="5"/>
  <c r="AJ365" i="5"/>
  <c r="AJ385" i="5"/>
  <c r="AJ401" i="5"/>
  <c r="AJ417" i="5"/>
  <c r="AJ433" i="5"/>
  <c r="AJ253" i="5"/>
  <c r="AJ271" i="5"/>
  <c r="AJ303" i="5"/>
  <c r="AJ389" i="5"/>
  <c r="AJ403" i="5"/>
  <c r="AJ419" i="5"/>
  <c r="AJ435" i="5"/>
  <c r="AJ451" i="5"/>
  <c r="AJ467" i="5"/>
  <c r="AJ483" i="5"/>
  <c r="AJ499" i="5"/>
  <c r="AJ514" i="5"/>
  <c r="AJ530" i="5"/>
  <c r="AJ540" i="5"/>
  <c r="AJ548" i="5"/>
  <c r="AJ209" i="5"/>
  <c r="AJ344" i="5"/>
  <c r="AJ376" i="5"/>
  <c r="AJ59" i="5"/>
  <c r="AJ157" i="5"/>
  <c r="AJ34" i="5"/>
  <c r="AJ66" i="5"/>
  <c r="AJ101" i="5"/>
  <c r="AJ133" i="5"/>
  <c r="AJ162" i="5"/>
  <c r="AJ180" i="5"/>
  <c r="AJ89" i="5"/>
  <c r="AJ189" i="5"/>
  <c r="AJ207" i="5"/>
  <c r="AJ223" i="5"/>
  <c r="AJ239" i="5"/>
  <c r="AJ259" i="5"/>
  <c r="AJ275" i="5"/>
  <c r="AJ291" i="5"/>
  <c r="AJ307" i="5"/>
  <c r="AJ326" i="5"/>
  <c r="AJ73" i="5"/>
  <c r="AJ115" i="5"/>
  <c r="AJ148" i="5"/>
  <c r="AJ190" i="5"/>
  <c r="AJ206" i="5"/>
  <c r="AJ222" i="5"/>
  <c r="AJ238" i="5"/>
  <c r="AJ30" i="5"/>
  <c r="AJ76" i="5"/>
  <c r="AJ200" i="5"/>
  <c r="AJ216" i="5"/>
  <c r="AJ234" i="5"/>
  <c r="AJ246" i="5"/>
  <c r="AJ254" i="5"/>
  <c r="AJ262" i="5"/>
  <c r="AJ278" i="5"/>
  <c r="AJ294" i="5"/>
  <c r="AJ312" i="5"/>
  <c r="AJ119" i="5"/>
  <c r="AJ227" i="5"/>
  <c r="AJ277" i="5"/>
  <c r="AJ309" i="5"/>
  <c r="AJ325" i="5"/>
  <c r="AJ343" i="5"/>
  <c r="AJ359" i="5"/>
  <c r="AJ375" i="5"/>
  <c r="AJ388" i="5"/>
  <c r="AJ398" i="5"/>
  <c r="AJ464" i="5"/>
  <c r="AJ480" i="5"/>
  <c r="AJ496" i="5"/>
  <c r="AJ511" i="5"/>
  <c r="AJ523" i="5"/>
  <c r="AJ533" i="5"/>
  <c r="AJ547" i="5"/>
  <c r="AJ23" i="5"/>
  <c r="AJ196" i="5"/>
  <c r="AJ230" i="5"/>
  <c r="AJ274" i="5"/>
  <c r="AJ306" i="5"/>
  <c r="B76" i="5"/>
  <c r="AJ91" i="5"/>
  <c r="AJ173" i="5"/>
  <c r="AJ50" i="5"/>
  <c r="AJ82" i="5"/>
  <c r="AJ117" i="5"/>
  <c r="AJ154" i="5"/>
  <c r="AJ170" i="5"/>
  <c r="AJ52" i="5"/>
  <c r="AJ181" i="5"/>
  <c r="AJ199" i="5"/>
  <c r="AJ215" i="5"/>
  <c r="AJ228" i="5"/>
  <c r="AJ251" i="5"/>
  <c r="AJ268" i="5"/>
  <c r="AJ284" i="5"/>
  <c r="AJ300" i="5"/>
  <c r="AJ315" i="5"/>
  <c r="AJ46" i="5"/>
  <c r="AJ99" i="5"/>
  <c r="AJ131" i="5"/>
  <c r="AJ182" i="5"/>
  <c r="AJ198" i="5"/>
  <c r="AJ214" i="5"/>
  <c r="AJ229" i="5"/>
  <c r="AJ242" i="5"/>
  <c r="AJ57" i="5"/>
  <c r="AJ178" i="5"/>
  <c r="AJ208" i="5"/>
  <c r="AJ225" i="5"/>
  <c r="AJ241" i="5"/>
  <c r="AJ250" i="5"/>
  <c r="AJ258" i="5"/>
  <c r="AJ273" i="5"/>
  <c r="AJ289" i="5"/>
  <c r="AJ305" i="5"/>
  <c r="AJ320" i="5"/>
  <c r="AJ179" i="5"/>
  <c r="AJ247" i="5"/>
  <c r="AJ287" i="5"/>
  <c r="AJ317" i="5"/>
  <c r="AJ335" i="5"/>
  <c r="AJ351" i="5"/>
  <c r="AJ367" i="5"/>
  <c r="AJ379" i="5"/>
  <c r="AJ394" i="5"/>
  <c r="AJ459" i="5"/>
  <c r="AJ475" i="5"/>
  <c r="AJ491" i="5"/>
  <c r="AJ507" i="5"/>
  <c r="AJ517" i="5"/>
  <c r="AJ527" i="5"/>
  <c r="AJ539" i="5"/>
  <c r="AJ555" i="5"/>
  <c r="AJ95" i="5"/>
  <c r="AJ213" i="5"/>
  <c r="AJ249" i="5"/>
  <c r="AJ288" i="5"/>
  <c r="AJ314" i="5"/>
  <c r="AJ331" i="5"/>
  <c r="AJ345" i="5"/>
  <c r="AJ361" i="5"/>
  <c r="AJ381" i="5"/>
  <c r="AJ395" i="5"/>
  <c r="AJ413" i="5"/>
  <c r="AJ429" i="5"/>
  <c r="AJ232" i="5"/>
  <c r="AJ266" i="5"/>
  <c r="AJ298" i="5"/>
  <c r="AJ378" i="5"/>
  <c r="AJ399" i="5"/>
  <c r="AJ415" i="5"/>
  <c r="AJ431" i="5"/>
  <c r="AJ447" i="5"/>
  <c r="AJ461" i="5"/>
  <c r="AJ477" i="5"/>
  <c r="AJ493" i="5"/>
  <c r="AJ508" i="5"/>
  <c r="AJ524" i="5"/>
  <c r="AJ538" i="5"/>
  <c r="AJ546" i="5"/>
  <c r="AJ144" i="5"/>
  <c r="AJ336" i="5"/>
  <c r="AJ368" i="5"/>
  <c r="AJ408" i="5"/>
  <c r="AJ161" i="5"/>
  <c r="AJ150" i="5"/>
  <c r="AJ197" i="5"/>
  <c r="AJ265" i="5"/>
  <c r="AJ36" i="5"/>
  <c r="AJ192" i="5"/>
  <c r="AJ39" i="5"/>
  <c r="AJ236" i="5"/>
  <c r="AJ283" i="5"/>
  <c r="AJ237" i="5"/>
  <c r="AJ347" i="5"/>
  <c r="AJ453" i="5"/>
  <c r="AJ513" i="5"/>
  <c r="AJ60" i="5"/>
  <c r="AJ310" i="5"/>
  <c r="AJ341" i="5"/>
  <c r="AJ373" i="5"/>
  <c r="AJ409" i="5"/>
  <c r="AJ135" i="5"/>
  <c r="AJ293" i="5"/>
  <c r="AJ393" i="5"/>
  <c r="AJ427" i="5"/>
  <c r="AJ456" i="5"/>
  <c r="AJ488" i="5"/>
  <c r="AJ520" i="5"/>
  <c r="AJ544" i="5"/>
  <c r="AJ327" i="5"/>
  <c r="AJ400" i="5"/>
  <c r="AJ437" i="5"/>
  <c r="AJ458" i="5"/>
  <c r="AJ490" i="5"/>
  <c r="AJ560" i="5"/>
  <c r="AJ500" i="5"/>
  <c r="AJ541" i="5"/>
  <c r="AJ406" i="5"/>
  <c r="AJ466" i="5"/>
  <c r="AJ263" i="5"/>
  <c r="AJ354" i="5"/>
  <c r="AJ402" i="5"/>
  <c r="AJ434" i="5"/>
  <c r="AJ450" i="5"/>
  <c r="AJ528" i="5"/>
  <c r="AJ436" i="5"/>
  <c r="AJ78" i="5"/>
  <c r="AJ348" i="5"/>
  <c r="AJ380" i="5"/>
  <c r="AJ428" i="5"/>
  <c r="AJ474" i="5"/>
  <c r="AJ506" i="5"/>
  <c r="AJ526" i="5"/>
  <c r="AJ111" i="5"/>
  <c r="AJ334" i="5"/>
  <c r="AJ366" i="5"/>
  <c r="AJ444" i="5"/>
  <c r="AJ554" i="5"/>
  <c r="AJ175" i="5"/>
  <c r="AJ136" i="5"/>
  <c r="AJ31" i="5"/>
  <c r="AJ86" i="5"/>
  <c r="AJ22" i="5"/>
  <c r="AJ132" i="5"/>
  <c r="AJ124" i="5"/>
  <c r="AJ85" i="5"/>
  <c r="AJ163" i="5"/>
  <c r="AJ130" i="5"/>
  <c r="AJ191" i="5"/>
  <c r="AJ110" i="5"/>
  <c r="AJ42" i="5"/>
  <c r="AJ100" i="5"/>
  <c r="AJ79" i="5"/>
  <c r="AJ32" i="5"/>
  <c r="AJ53" i="5"/>
  <c r="AJ45" i="5"/>
  <c r="AJ168" i="5"/>
  <c r="AJ211" i="5"/>
  <c r="AJ281" i="5"/>
  <c r="AJ83" i="5"/>
  <c r="AJ210" i="5"/>
  <c r="AJ142" i="5"/>
  <c r="AJ248" i="5"/>
  <c r="AJ299" i="5"/>
  <c r="AJ282" i="5"/>
  <c r="AJ363" i="5"/>
  <c r="AJ469" i="5"/>
  <c r="AJ525" i="5"/>
  <c r="AJ205" i="5"/>
  <c r="AJ322" i="5"/>
  <c r="AJ353" i="5"/>
  <c r="AJ387" i="5"/>
  <c r="AJ421" i="5"/>
  <c r="AJ257" i="5"/>
  <c r="AJ323" i="5"/>
  <c r="AJ407" i="5"/>
  <c r="AJ439" i="5"/>
  <c r="AJ470" i="5"/>
  <c r="AJ502" i="5"/>
  <c r="AJ532" i="5"/>
  <c r="AJ550" i="5"/>
  <c r="AJ352" i="5"/>
  <c r="AJ416" i="5"/>
  <c r="AJ441" i="5"/>
  <c r="AJ471" i="5"/>
  <c r="AJ503" i="5"/>
  <c r="AJ463" i="5"/>
  <c r="AJ512" i="5"/>
  <c r="AJ549" i="5"/>
  <c r="AJ422" i="5"/>
  <c r="AJ479" i="5"/>
  <c r="AJ329" i="5"/>
  <c r="AJ362" i="5"/>
  <c r="AJ410" i="5"/>
  <c r="AJ438" i="5"/>
  <c r="AJ468" i="5"/>
  <c r="AJ545" i="5"/>
  <c r="AJ452" i="5"/>
  <c r="AJ285" i="5"/>
  <c r="AJ356" i="5"/>
  <c r="AJ404" i="5"/>
  <c r="AJ455" i="5"/>
  <c r="AJ487" i="5"/>
  <c r="AJ510" i="5"/>
  <c r="AJ534" i="5"/>
  <c r="AJ201" i="5"/>
  <c r="AJ342" i="5"/>
  <c r="AJ397" i="5"/>
  <c r="AJ457" i="5"/>
  <c r="AJ120" i="5"/>
  <c r="AJ81" i="5"/>
  <c r="AJ187" i="5"/>
  <c r="AJ70" i="5"/>
  <c r="AJ159" i="5"/>
  <c r="AJ116" i="5"/>
  <c r="AJ104" i="5"/>
  <c r="AJ106" i="5"/>
  <c r="AJ171" i="5"/>
  <c r="AJ134" i="5"/>
  <c r="AJ98" i="5"/>
  <c r="AJ80" i="5"/>
  <c r="AJ25" i="5"/>
  <c r="AJ226" i="5"/>
  <c r="AJ297" i="5"/>
  <c r="AJ123" i="5"/>
  <c r="AJ224" i="5"/>
  <c r="AJ204" i="5"/>
  <c r="AJ256" i="5"/>
  <c r="AJ316" i="5"/>
  <c r="AJ313" i="5"/>
  <c r="AJ377" i="5"/>
  <c r="AJ485" i="5"/>
  <c r="AJ535" i="5"/>
  <c r="AJ245" i="5"/>
  <c r="AJ328" i="5"/>
  <c r="AJ357" i="5"/>
  <c r="AJ392" i="5"/>
  <c r="AJ425" i="5"/>
  <c r="AJ261" i="5"/>
  <c r="AJ332" i="5"/>
  <c r="AJ411" i="5"/>
  <c r="AJ443" i="5"/>
  <c r="AJ472" i="5"/>
  <c r="AJ504" i="5"/>
  <c r="AJ536" i="5"/>
  <c r="AJ552" i="5"/>
  <c r="AJ360" i="5"/>
  <c r="AJ424" i="5"/>
  <c r="AJ445" i="5"/>
  <c r="AJ476" i="5"/>
  <c r="AJ515" i="5"/>
  <c r="AJ473" i="5"/>
  <c r="AJ521" i="5"/>
  <c r="AJ553" i="5"/>
  <c r="AJ440" i="5"/>
  <c r="AJ41" i="5"/>
  <c r="AJ338" i="5"/>
  <c r="AJ370" i="5"/>
  <c r="AJ418" i="5"/>
  <c r="AJ442" i="5"/>
  <c r="AJ482" i="5"/>
  <c r="AJ558" i="5"/>
  <c r="AJ489" i="5"/>
  <c r="AJ304" i="5"/>
  <c r="AJ364" i="5"/>
  <c r="AJ412" i="5"/>
  <c r="AJ460" i="5"/>
  <c r="AJ492" i="5"/>
  <c r="AJ518" i="5"/>
  <c r="AJ556" i="5"/>
  <c r="AJ272" i="5"/>
  <c r="AJ350" i="5"/>
  <c r="AJ414" i="5"/>
  <c r="AJ484" i="5"/>
  <c r="AJ65" i="5"/>
  <c r="AJ128" i="5"/>
  <c r="AJ54" i="5"/>
  <c r="AJ112" i="5"/>
  <c r="AJ149" i="5"/>
  <c r="AJ108" i="5"/>
  <c r="AJ8" i="5"/>
  <c r="AJ140" i="5"/>
  <c r="AJ122" i="5"/>
  <c r="AJ90" i="5"/>
  <c r="AJ126" i="5"/>
  <c r="AJ102" i="5"/>
  <c r="AJ74" i="5"/>
  <c r="AJ51" i="5"/>
  <c r="AJ35" i="5"/>
  <c r="AJ92" i="5"/>
  <c r="AJ26" i="5"/>
  <c r="AJ72" i="5"/>
  <c r="AJ113" i="5"/>
  <c r="AJ177" i="5"/>
  <c r="AJ152" i="5"/>
  <c r="AJ551" i="5"/>
  <c r="AJ405" i="5"/>
  <c r="AJ423" i="5"/>
  <c r="AJ542" i="5"/>
  <c r="AJ449" i="5"/>
  <c r="AJ537" i="5"/>
  <c r="AJ346" i="5"/>
  <c r="AJ505" i="5"/>
  <c r="AJ372" i="5"/>
  <c r="AJ522" i="5"/>
  <c r="AJ430" i="5"/>
  <c r="AJ151" i="5"/>
  <c r="AJ167" i="5"/>
  <c r="AJ118" i="5"/>
  <c r="AJ37" i="5"/>
  <c r="AJ137" i="5"/>
  <c r="AJ240" i="5"/>
  <c r="AJ330" i="5"/>
  <c r="AJ279" i="5"/>
  <c r="AJ103" i="5"/>
  <c r="AJ454" i="5"/>
  <c r="AJ295" i="5"/>
  <c r="AJ481" i="5"/>
  <c r="AJ374" i="5"/>
  <c r="AJ386" i="5"/>
  <c r="AJ382" i="5"/>
  <c r="AJ420" i="5"/>
  <c r="AJ19" i="5"/>
  <c r="AJ498" i="5"/>
  <c r="AJ47" i="5"/>
  <c r="AJ114" i="5"/>
  <c r="AJ69" i="5"/>
  <c r="AJ58" i="5"/>
  <c r="AJ96" i="5"/>
  <c r="AJ21" i="5"/>
  <c r="AJ243" i="5"/>
  <c r="AJ220" i="5"/>
  <c r="AJ390" i="5"/>
  <c r="AJ337" i="5"/>
  <c r="AJ280" i="5"/>
  <c r="AJ486" i="5"/>
  <c r="AJ384" i="5"/>
  <c r="AJ531" i="5"/>
  <c r="AJ448" i="5"/>
  <c r="AJ426" i="5"/>
  <c r="AJ557" i="5"/>
  <c r="AJ465" i="5"/>
  <c r="AJ290" i="5"/>
  <c r="AJ145" i="5"/>
  <c r="AJ94" i="5"/>
  <c r="AJ63" i="5"/>
  <c r="AJ88" i="5"/>
  <c r="AJ311" i="5"/>
  <c r="AJ391" i="5"/>
  <c r="AJ217" i="5"/>
  <c r="AJ358" i="5"/>
  <c r="AJ183" i="5"/>
  <c r="AJ48" i="5"/>
  <c r="AJ267" i="5"/>
  <c r="AJ516" i="5"/>
  <c r="AJ446" i="5"/>
  <c r="AJ155" i="5"/>
  <c r="AJ501" i="5"/>
  <c r="AJ432" i="5"/>
  <c r="AJ340" i="5"/>
  <c r="AJ369" i="5"/>
  <c r="AJ495" i="5"/>
  <c r="AJ38" i="5"/>
  <c r="AJ497" i="5"/>
  <c r="AJ68" i="5"/>
  <c r="B25" i="2"/>
  <c r="H17" i="1"/>
  <c r="AK158" i="5"/>
  <c r="AK75" i="5"/>
  <c r="AX7" i="5"/>
  <c r="AY7" i="5"/>
  <c r="AK195" i="5"/>
  <c r="AL188" i="5"/>
  <c r="AK169" i="5"/>
  <c r="AL169" i="5"/>
  <c r="AL125" i="5"/>
  <c r="AL166" i="5"/>
  <c r="AK109" i="5"/>
  <c r="AL84" i="5"/>
  <c r="AK84" i="5"/>
  <c r="AK56" i="5"/>
  <c r="AL56" i="5"/>
  <c r="AL147" i="5"/>
  <c r="AK147" i="5"/>
  <c r="BA66" i="5" l="1"/>
  <c r="AU299" i="5"/>
  <c r="AU324" i="5"/>
  <c r="BB78" i="5"/>
  <c r="BA166" i="5"/>
  <c r="BA240" i="5"/>
  <c r="BA70" i="5"/>
  <c r="BA178" i="5"/>
  <c r="BB159" i="5"/>
  <c r="BA188" i="5"/>
  <c r="BB56" i="5"/>
  <c r="BA117" i="5"/>
  <c r="BB111" i="5"/>
  <c r="BB262" i="5"/>
  <c r="BA64" i="5"/>
  <c r="V520" i="5"/>
  <c r="U145" i="5"/>
  <c r="U180" i="5"/>
  <c r="AL138" i="5"/>
  <c r="V246" i="5"/>
  <c r="V123" i="5"/>
  <c r="U400" i="5"/>
  <c r="V490" i="5"/>
  <c r="U450" i="5"/>
  <c r="V49" i="5"/>
  <c r="AL87" i="5"/>
  <c r="U43" i="5"/>
  <c r="U149" i="5"/>
  <c r="V207" i="5"/>
  <c r="U187" i="5"/>
  <c r="U51" i="5"/>
  <c r="U175" i="5"/>
  <c r="U240" i="5"/>
  <c r="U434" i="5"/>
  <c r="V248" i="5"/>
  <c r="V121" i="5"/>
  <c r="V137" i="5"/>
  <c r="U560" i="5"/>
  <c r="V525" i="5"/>
  <c r="U178" i="5"/>
  <c r="U247" i="5"/>
  <c r="V555" i="5"/>
  <c r="U32" i="5"/>
  <c r="V421" i="5"/>
  <c r="U491" i="5"/>
  <c r="V488" i="5"/>
  <c r="U442" i="5"/>
  <c r="V210" i="5"/>
  <c r="U396" i="5"/>
  <c r="U256" i="5"/>
  <c r="V214" i="5"/>
  <c r="AK174" i="5"/>
  <c r="U159" i="5"/>
  <c r="U174" i="5"/>
  <c r="U343" i="5"/>
  <c r="U335" i="5"/>
  <c r="V399" i="5"/>
  <c r="V471" i="5"/>
  <c r="V363" i="5"/>
  <c r="V218" i="5"/>
  <c r="V468" i="5"/>
  <c r="V414" i="5"/>
  <c r="U522" i="5"/>
  <c r="U122" i="5"/>
  <c r="U374" i="5"/>
  <c r="V278" i="5"/>
  <c r="V333" i="5"/>
  <c r="V480" i="5"/>
  <c r="V190" i="5"/>
  <c r="V84" i="5"/>
  <c r="V385" i="5"/>
  <c r="U183" i="5"/>
  <c r="AL105" i="5"/>
  <c r="U125" i="5"/>
  <c r="V25" i="5"/>
  <c r="V460" i="5"/>
  <c r="U52" i="5"/>
  <c r="V353" i="5"/>
  <c r="V455" i="5"/>
  <c r="U66" i="5"/>
  <c r="V397" i="5"/>
  <c r="AL44" i="5"/>
  <c r="V35" i="5"/>
  <c r="V504" i="5"/>
  <c r="U7" i="5"/>
  <c r="U548" i="5"/>
  <c r="U458" i="5"/>
  <c r="V485" i="5"/>
  <c r="V260" i="5"/>
  <c r="U31" i="5"/>
  <c r="V330" i="5"/>
  <c r="V359" i="5"/>
  <c r="AL172" i="5"/>
  <c r="V409" i="5"/>
  <c r="V312" i="5"/>
  <c r="U331" i="5"/>
  <c r="V189" i="5"/>
  <c r="U225" i="5"/>
  <c r="V320" i="5"/>
  <c r="AK43" i="5"/>
  <c r="V162" i="5"/>
  <c r="AL77" i="5"/>
  <c r="V108" i="5"/>
  <c r="V134" i="5"/>
  <c r="U134" i="5"/>
  <c r="V492" i="5"/>
  <c r="U274" i="5"/>
  <c r="V527" i="5"/>
  <c r="V83" i="5"/>
  <c r="U234" i="5"/>
  <c r="U512" i="5"/>
  <c r="U239" i="5"/>
  <c r="V236" i="5"/>
  <c r="V505" i="5"/>
  <c r="V88" i="5"/>
  <c r="V294" i="5"/>
  <c r="U303" i="5"/>
  <c r="U296" i="5"/>
  <c r="V465" i="5"/>
  <c r="U38" i="5"/>
  <c r="V466" i="5"/>
  <c r="U542" i="5"/>
  <c r="V36" i="5"/>
  <c r="V22" i="5"/>
  <c r="U291" i="5"/>
  <c r="U79" i="5"/>
  <c r="U176" i="5"/>
  <c r="U151" i="5"/>
  <c r="V263" i="5"/>
  <c r="V528" i="5"/>
  <c r="AV311" i="5"/>
  <c r="AV198" i="5"/>
  <c r="BA173" i="5"/>
  <c r="BB247" i="5"/>
  <c r="BA107" i="5"/>
  <c r="BB324" i="5"/>
  <c r="BA22" i="5"/>
  <c r="BA119" i="5"/>
  <c r="BA125" i="5"/>
  <c r="AV210" i="5"/>
  <c r="AU24" i="5"/>
  <c r="BA35" i="5"/>
  <c r="BB161" i="5"/>
  <c r="BB135" i="5"/>
  <c r="BA148" i="5"/>
  <c r="BB137" i="5"/>
  <c r="BA50" i="5"/>
  <c r="BA296" i="5"/>
  <c r="BA249" i="5"/>
  <c r="AU87" i="5"/>
  <c r="AV62" i="5"/>
  <c r="AU64" i="5"/>
  <c r="AV55" i="5"/>
  <c r="AV118" i="5"/>
  <c r="AU65" i="5"/>
  <c r="AV141" i="5"/>
  <c r="AU42" i="5"/>
  <c r="AU8" i="5"/>
  <c r="AU189" i="5"/>
  <c r="BA285" i="5"/>
  <c r="BA94" i="5"/>
  <c r="AV250" i="5"/>
  <c r="BA206" i="5"/>
  <c r="BB175" i="5"/>
  <c r="BA373" i="5"/>
  <c r="BB303" i="5"/>
  <c r="BB323" i="5"/>
  <c r="BB218" i="5"/>
  <c r="BA180" i="5"/>
  <c r="BA274" i="5"/>
  <c r="U515" i="5"/>
  <c r="U98" i="5"/>
  <c r="U40" i="5"/>
  <c r="AL27" i="5"/>
  <c r="U301" i="5"/>
  <c r="AK121" i="5"/>
  <c r="V242" i="5"/>
  <c r="BA89" i="5"/>
  <c r="AU135" i="5"/>
  <c r="AV21" i="5"/>
  <c r="AV89" i="5"/>
  <c r="AV291" i="5"/>
  <c r="AV31" i="5"/>
  <c r="AV34" i="5"/>
  <c r="AU221" i="5"/>
  <c r="AU115" i="5"/>
  <c r="AU93" i="5"/>
  <c r="AU133" i="5"/>
  <c r="AV77" i="5"/>
  <c r="AV142" i="5"/>
  <c r="AU122" i="5"/>
  <c r="AU191" i="5"/>
  <c r="AV130" i="5"/>
  <c r="AV282" i="5"/>
  <c r="AU47" i="5"/>
  <c r="AU270" i="5"/>
  <c r="AU295" i="5"/>
  <c r="AV233" i="5"/>
  <c r="AU182" i="5"/>
  <c r="AV276" i="5"/>
  <c r="AU175" i="5"/>
  <c r="AV199" i="5"/>
  <c r="AU150" i="5"/>
  <c r="BB264" i="5"/>
  <c r="AU211" i="5"/>
  <c r="BB337" i="5"/>
  <c r="BB230" i="5"/>
  <c r="AU257" i="5"/>
  <c r="BB312" i="5"/>
  <c r="BA130" i="5"/>
  <c r="AV181" i="5"/>
  <c r="BA44" i="5"/>
  <c r="BB55" i="5"/>
  <c r="BB131" i="5"/>
  <c r="BA144" i="5"/>
  <c r="BB108" i="5"/>
  <c r="BB136" i="5"/>
  <c r="BB150" i="5"/>
  <c r="BB326" i="5"/>
  <c r="BB158" i="5"/>
  <c r="BA156" i="5"/>
  <c r="AT12" i="5"/>
  <c r="AV12" i="5" s="1"/>
  <c r="BB332" i="5"/>
  <c r="AW12" i="5"/>
  <c r="AX12" i="5" s="1"/>
  <c r="BB369" i="5"/>
  <c r="BB118" i="5"/>
  <c r="T12" i="5"/>
  <c r="U12" i="5" s="1"/>
  <c r="AJ12" i="5"/>
  <c r="AK12" i="5" s="1"/>
  <c r="BA7" i="5"/>
  <c r="U518" i="5"/>
  <c r="V511" i="5"/>
  <c r="U509" i="5"/>
  <c r="V509" i="5"/>
  <c r="V382" i="5"/>
  <c r="V451" i="5"/>
  <c r="U451" i="5"/>
  <c r="V130" i="5"/>
  <c r="U514" i="5"/>
  <c r="U91" i="5"/>
  <c r="V91" i="5"/>
  <c r="V118" i="5"/>
  <c r="V459" i="5"/>
  <c r="V89" i="5"/>
  <c r="U89" i="5"/>
  <c r="V394" i="5"/>
  <c r="V537" i="5"/>
  <c r="V554" i="5"/>
  <c r="U308" i="5"/>
  <c r="V462" i="5"/>
  <c r="U50" i="5"/>
  <c r="V417" i="5"/>
  <c r="U417" i="5"/>
  <c r="V349" i="5"/>
  <c r="V402" i="5"/>
  <c r="V82" i="5"/>
  <c r="AU251" i="5"/>
  <c r="BB31" i="5"/>
  <c r="BA45" i="5"/>
  <c r="AV126" i="5"/>
  <c r="BB92" i="5"/>
  <c r="AU280" i="5"/>
  <c r="BA38" i="5"/>
  <c r="AU177" i="5"/>
  <c r="AV190" i="5"/>
  <c r="BA315" i="5"/>
  <c r="BB305" i="5"/>
  <c r="BB172" i="5"/>
  <c r="BB103" i="5"/>
  <c r="BA238" i="5"/>
  <c r="BB237" i="5"/>
  <c r="BA152" i="5"/>
  <c r="BA51" i="5"/>
  <c r="BB299" i="5"/>
  <c r="BB53" i="5"/>
  <c r="BA75" i="5"/>
  <c r="AU7" i="5"/>
  <c r="AL7" i="5"/>
  <c r="AU301" i="5"/>
  <c r="AV243" i="5"/>
  <c r="AV52" i="5"/>
  <c r="AU159" i="5"/>
  <c r="AU239" i="5"/>
  <c r="AV218" i="5"/>
  <c r="AV297" i="5"/>
  <c r="AV271" i="5"/>
  <c r="AV136" i="5"/>
  <c r="AU283" i="5"/>
  <c r="AU109" i="5"/>
  <c r="AV259" i="5"/>
  <c r="AU163" i="5"/>
  <c r="AV44" i="5"/>
  <c r="AV129" i="5"/>
  <c r="AV335" i="5"/>
  <c r="AU328" i="5"/>
  <c r="AV215" i="5"/>
  <c r="AU84" i="5"/>
  <c r="AU224" i="5"/>
  <c r="AU30" i="5"/>
  <c r="AU183" i="5"/>
  <c r="AV128" i="5"/>
  <c r="AU25" i="5"/>
  <c r="AU230" i="5"/>
  <c r="AV157" i="5"/>
  <c r="AV248" i="5"/>
  <c r="AV209" i="5"/>
  <c r="AU28" i="5"/>
  <c r="AV237" i="5"/>
  <c r="AV217" i="5"/>
  <c r="AV78" i="5"/>
  <c r="AU200" i="5"/>
  <c r="AU255" i="5"/>
  <c r="AV164" i="5"/>
  <c r="AU172" i="5"/>
  <c r="AV195" i="5"/>
  <c r="AU38" i="5"/>
  <c r="AU154" i="5"/>
  <c r="AU240" i="5"/>
  <c r="BA132" i="5"/>
  <c r="BB169" i="5"/>
  <c r="AV156" i="5"/>
  <c r="AU165" i="5"/>
  <c r="AV234" i="5"/>
  <c r="BA227" i="5"/>
  <c r="AU238" i="5"/>
  <c r="AV265" i="5"/>
  <c r="AU316" i="5"/>
  <c r="AU111" i="5"/>
  <c r="AV229" i="5"/>
  <c r="AU37" i="5"/>
  <c r="AV61" i="5"/>
  <c r="AU61" i="5"/>
  <c r="AU75" i="5"/>
  <c r="AV139" i="5"/>
  <c r="AU32" i="5"/>
  <c r="AV205" i="5"/>
  <c r="AV322" i="5"/>
  <c r="AU314" i="5"/>
  <c r="AV36" i="5"/>
  <c r="BB177" i="5"/>
  <c r="BB52" i="5"/>
  <c r="BB32" i="5"/>
  <c r="BB39" i="5"/>
  <c r="BA243" i="5"/>
  <c r="BB331" i="5"/>
  <c r="BA40" i="5"/>
  <c r="BB287" i="5"/>
  <c r="BA268" i="5"/>
  <c r="BA226" i="5"/>
  <c r="BA212" i="5"/>
  <c r="BA329" i="5"/>
  <c r="BA263" i="5"/>
  <c r="BB322" i="5"/>
  <c r="BA174" i="5"/>
  <c r="BB29" i="5"/>
  <c r="BA23" i="5"/>
  <c r="BB69" i="5"/>
  <c r="BB30" i="5"/>
  <c r="BB8" i="5"/>
  <c r="AL184" i="5"/>
  <c r="AK164" i="5"/>
  <c r="AK143" i="5"/>
  <c r="AK24" i="5"/>
  <c r="B144" i="2"/>
  <c r="H58" i="1" s="1"/>
  <c r="AV33" i="5"/>
  <c r="AU33" i="5"/>
  <c r="AV49" i="5"/>
  <c r="AU49" i="5"/>
  <c r="AU560" i="5"/>
  <c r="AV560" i="5"/>
  <c r="AV475" i="5"/>
  <c r="AU475" i="5"/>
  <c r="AV431" i="5"/>
  <c r="AU431" i="5"/>
  <c r="AV119" i="5"/>
  <c r="AU119" i="5"/>
  <c r="AV455" i="5"/>
  <c r="AU455" i="5"/>
  <c r="AU19" i="5"/>
  <c r="AV19" i="5"/>
  <c r="AV546" i="5"/>
  <c r="AU546" i="5"/>
  <c r="AV266" i="5"/>
  <c r="AU266" i="5"/>
  <c r="AU552" i="5"/>
  <c r="AV552" i="5"/>
  <c r="AU256" i="5"/>
  <c r="AV256" i="5"/>
  <c r="AV389" i="5"/>
  <c r="AU389" i="5"/>
  <c r="AU35" i="5"/>
  <c r="AV35" i="5"/>
  <c r="AV482" i="5"/>
  <c r="AU482" i="5"/>
  <c r="AU354" i="5"/>
  <c r="AV354" i="5"/>
  <c r="AV521" i="5"/>
  <c r="AU521" i="5"/>
  <c r="AU454" i="5"/>
  <c r="AV454" i="5"/>
  <c r="AU545" i="5"/>
  <c r="AV545" i="5"/>
  <c r="AV528" i="5"/>
  <c r="AU528" i="5"/>
  <c r="AV498" i="5"/>
  <c r="AU498" i="5"/>
  <c r="AV464" i="5"/>
  <c r="AU464" i="5"/>
  <c r="AU414" i="5"/>
  <c r="AV414" i="5"/>
  <c r="AV374" i="5"/>
  <c r="AU374" i="5"/>
  <c r="AV236" i="5"/>
  <c r="AU236" i="5"/>
  <c r="AV108" i="5"/>
  <c r="AU108" i="5"/>
  <c r="AV446" i="5"/>
  <c r="AU446" i="5"/>
  <c r="AU413" i="5"/>
  <c r="AV413" i="5"/>
  <c r="AU484" i="5"/>
  <c r="AV484" i="5"/>
  <c r="AU463" i="5"/>
  <c r="AV463" i="5"/>
  <c r="AU457" i="5"/>
  <c r="AV457" i="5"/>
  <c r="AU422" i="5"/>
  <c r="AV422" i="5"/>
  <c r="AV409" i="5"/>
  <c r="AU409" i="5"/>
  <c r="AV323" i="5"/>
  <c r="AU323" i="5"/>
  <c r="AV206" i="5"/>
  <c r="AU206" i="5"/>
  <c r="AU68" i="5"/>
  <c r="AV68" i="5"/>
  <c r="AU537" i="5"/>
  <c r="AV537" i="5"/>
  <c r="AU358" i="5"/>
  <c r="AV358" i="5"/>
  <c r="AV554" i="5"/>
  <c r="AU554" i="5"/>
  <c r="AV549" i="5"/>
  <c r="AU549" i="5"/>
  <c r="AV517" i="5"/>
  <c r="AU517" i="5"/>
  <c r="AV481" i="5"/>
  <c r="AU481" i="5"/>
  <c r="AU298" i="5"/>
  <c r="AV298" i="5"/>
  <c r="AV292" i="5"/>
  <c r="AU292" i="5"/>
  <c r="AV171" i="5"/>
  <c r="AU171" i="5"/>
  <c r="AU509" i="5"/>
  <c r="AV509" i="5"/>
  <c r="AV550" i="5"/>
  <c r="AU550" i="5"/>
  <c r="AU478" i="5"/>
  <c r="AV478" i="5"/>
  <c r="AU272" i="5"/>
  <c r="AV272" i="5"/>
  <c r="AU456" i="5"/>
  <c r="AV456" i="5"/>
  <c r="AU518" i="5"/>
  <c r="AV518" i="5"/>
  <c r="AU445" i="5"/>
  <c r="AV445" i="5"/>
  <c r="AV168" i="5"/>
  <c r="AU168" i="5"/>
  <c r="AU352" i="5"/>
  <c r="AV352" i="5"/>
  <c r="AV376" i="5"/>
  <c r="AU376" i="5"/>
  <c r="AU180" i="5"/>
  <c r="AV180" i="5"/>
  <c r="AV388" i="5"/>
  <c r="AU388" i="5"/>
  <c r="AU349" i="5"/>
  <c r="AV349" i="5"/>
  <c r="AU269" i="5"/>
  <c r="AV269" i="5"/>
  <c r="AU258" i="5"/>
  <c r="AV258" i="5"/>
  <c r="AU252" i="5"/>
  <c r="AV252" i="5"/>
  <c r="AV192" i="5"/>
  <c r="AU192" i="5"/>
  <c r="AV140" i="5"/>
  <c r="AU140" i="5"/>
  <c r="AU116" i="5"/>
  <c r="AV116" i="5"/>
  <c r="AU127" i="5"/>
  <c r="AV127" i="5"/>
  <c r="AU72" i="5"/>
  <c r="AV72" i="5"/>
  <c r="AV384" i="5"/>
  <c r="AU384" i="5"/>
  <c r="AU488" i="5"/>
  <c r="AV488" i="5"/>
  <c r="AV350" i="5"/>
  <c r="AU350" i="5"/>
  <c r="AV383" i="5"/>
  <c r="AU383" i="5"/>
  <c r="AV405" i="5"/>
  <c r="AU405" i="5"/>
  <c r="AV326" i="5"/>
  <c r="AU326" i="5"/>
  <c r="AV406" i="5"/>
  <c r="AU406" i="5"/>
  <c r="AU290" i="5"/>
  <c r="AV290" i="5"/>
  <c r="AV313" i="5"/>
  <c r="AU313" i="5"/>
  <c r="AV308" i="5"/>
  <c r="AU308" i="5"/>
  <c r="AU293" i="5"/>
  <c r="AV293" i="5"/>
  <c r="AU188" i="5"/>
  <c r="AV188" i="5"/>
  <c r="AV197" i="5"/>
  <c r="AU197" i="5"/>
  <c r="AV179" i="5"/>
  <c r="AU179" i="5"/>
  <c r="AV151" i="5"/>
  <c r="AU151" i="5"/>
  <c r="AV98" i="5"/>
  <c r="AU98" i="5"/>
  <c r="AU60" i="5"/>
  <c r="AV60" i="5"/>
  <c r="AU380" i="5"/>
  <c r="AV380" i="5"/>
  <c r="AV507" i="5"/>
  <c r="AU507" i="5"/>
  <c r="AV439" i="5"/>
  <c r="AU439" i="5"/>
  <c r="AU483" i="5"/>
  <c r="AV483" i="5"/>
  <c r="AV370" i="5"/>
  <c r="AU370" i="5"/>
  <c r="AU487" i="5"/>
  <c r="AV487" i="5"/>
  <c r="AV346" i="5"/>
  <c r="AU346" i="5"/>
  <c r="AU375" i="5"/>
  <c r="AV375" i="5"/>
  <c r="AV396" i="5"/>
  <c r="AU396" i="5"/>
  <c r="AV321" i="5"/>
  <c r="AU321" i="5"/>
  <c r="AV403" i="5"/>
  <c r="AU403" i="5"/>
  <c r="AU284" i="5"/>
  <c r="AV284" i="5"/>
  <c r="AV303" i="5"/>
  <c r="AU303" i="5"/>
  <c r="AU304" i="5"/>
  <c r="AV304" i="5"/>
  <c r="AV287" i="5"/>
  <c r="AU287" i="5"/>
  <c r="AV166" i="5"/>
  <c r="AU166" i="5"/>
  <c r="AU194" i="5"/>
  <c r="AV194" i="5"/>
  <c r="AV178" i="5"/>
  <c r="AU178" i="5"/>
  <c r="AV148" i="5"/>
  <c r="AU148" i="5"/>
  <c r="AV97" i="5"/>
  <c r="AU97" i="5"/>
  <c r="AU57" i="5"/>
  <c r="AV57" i="5"/>
  <c r="AV155" i="5"/>
  <c r="AU155" i="5"/>
  <c r="AU226" i="5"/>
  <c r="AV226" i="5"/>
  <c r="AU132" i="5"/>
  <c r="AV132" i="5"/>
  <c r="AV519" i="5"/>
  <c r="AU519" i="5"/>
  <c r="AU544" i="5"/>
  <c r="AV544" i="5"/>
  <c r="AV536" i="5"/>
  <c r="AU536" i="5"/>
  <c r="AV531" i="5"/>
  <c r="AU531" i="5"/>
  <c r="AV433" i="5"/>
  <c r="AU433" i="5"/>
  <c r="AU137" i="5"/>
  <c r="AV137" i="5"/>
  <c r="AU432" i="5"/>
  <c r="AV432" i="5"/>
  <c r="AV520" i="5"/>
  <c r="AU520" i="5"/>
  <c r="AU458" i="5"/>
  <c r="AV458" i="5"/>
  <c r="AU330" i="5"/>
  <c r="AV330" i="5"/>
  <c r="AU107" i="5"/>
  <c r="AV107" i="5"/>
  <c r="AV395" i="5"/>
  <c r="AU395" i="5"/>
  <c r="AV392" i="5"/>
  <c r="AU392" i="5"/>
  <c r="AU357" i="5"/>
  <c r="AV357" i="5"/>
  <c r="AV300" i="5"/>
  <c r="AU300" i="5"/>
  <c r="AU50" i="5"/>
  <c r="AV50" i="5"/>
  <c r="AV504" i="5"/>
  <c r="AU504" i="5"/>
  <c r="AV472" i="5"/>
  <c r="AU472" i="5"/>
  <c r="AV469" i="5"/>
  <c r="AU469" i="5"/>
  <c r="AV369" i="5"/>
  <c r="AU369" i="5"/>
  <c r="AV268" i="5"/>
  <c r="AU268" i="5"/>
  <c r="AU174" i="5"/>
  <c r="AV174" i="5"/>
  <c r="AU289" i="5"/>
  <c r="AV289" i="5"/>
  <c r="AU232" i="5"/>
  <c r="AV232" i="5"/>
  <c r="AV158" i="5"/>
  <c r="AU158" i="5"/>
  <c r="AV94" i="5"/>
  <c r="AU94" i="5"/>
  <c r="AU499" i="5"/>
  <c r="AV499" i="5"/>
  <c r="AV404" i="5"/>
  <c r="AU404" i="5"/>
  <c r="AV355" i="5"/>
  <c r="AU355" i="5"/>
  <c r="AV364" i="5"/>
  <c r="AU364" i="5"/>
  <c r="AU196" i="5"/>
  <c r="AV196" i="5"/>
  <c r="AV225" i="5"/>
  <c r="AU225" i="5"/>
  <c r="AU161" i="5"/>
  <c r="AV161" i="5"/>
  <c r="AV85" i="5"/>
  <c r="AU85" i="5"/>
  <c r="AU473" i="5"/>
  <c r="AV473" i="5"/>
  <c r="AU459" i="5"/>
  <c r="AV459" i="5"/>
  <c r="AU425" i="5"/>
  <c r="AV425" i="5"/>
  <c r="AV412" i="5"/>
  <c r="AU412" i="5"/>
  <c r="AV410" i="5"/>
  <c r="AU410" i="5"/>
  <c r="AV421" i="5"/>
  <c r="AU421" i="5"/>
  <c r="AV117" i="5"/>
  <c r="AU117" i="5"/>
  <c r="AV315" i="5"/>
  <c r="AU315" i="5"/>
  <c r="AU193" i="5"/>
  <c r="AV193" i="5"/>
  <c r="AU82" i="5"/>
  <c r="AV82" i="5"/>
  <c r="AV423" i="5"/>
  <c r="AU423" i="5"/>
  <c r="AV529" i="5"/>
  <c r="AU529" i="5"/>
  <c r="AU515" i="5"/>
  <c r="AV515" i="5"/>
  <c r="AV123" i="5"/>
  <c r="AU123" i="5"/>
  <c r="AV535" i="5"/>
  <c r="AU535" i="5"/>
  <c r="AU394" i="5"/>
  <c r="AV394" i="5"/>
  <c r="AV204" i="5"/>
  <c r="AU204" i="5"/>
  <c r="AV470" i="5"/>
  <c r="AU470" i="5"/>
  <c r="AU471" i="5"/>
  <c r="AV471" i="5"/>
  <c r="AV207" i="5"/>
  <c r="AU207" i="5"/>
  <c r="AU449" i="5"/>
  <c r="AV449" i="5"/>
  <c r="AV426" i="5"/>
  <c r="AU426" i="5"/>
  <c r="AV495" i="5"/>
  <c r="AU495" i="5"/>
  <c r="AV476" i="5"/>
  <c r="AU476" i="5"/>
  <c r="AV462" i="5"/>
  <c r="AU462" i="5"/>
  <c r="AV434" i="5"/>
  <c r="AU434" i="5"/>
  <c r="AV339" i="5"/>
  <c r="AU339" i="5"/>
  <c r="AV343" i="5"/>
  <c r="AU343" i="5"/>
  <c r="AV227" i="5"/>
  <c r="AU227" i="5"/>
  <c r="AU80" i="5"/>
  <c r="AV80" i="5"/>
  <c r="AU556" i="5"/>
  <c r="AV556" i="5"/>
  <c r="AU365" i="5"/>
  <c r="AV365" i="5"/>
  <c r="AV441" i="5"/>
  <c r="AU441" i="5"/>
  <c r="AU551" i="5"/>
  <c r="AV551" i="5"/>
  <c r="AV302" i="5"/>
  <c r="AU302" i="5"/>
  <c r="AU493" i="5"/>
  <c r="AV493" i="5"/>
  <c r="AU333" i="5"/>
  <c r="AV333" i="5"/>
  <c r="AU325" i="5"/>
  <c r="AV325" i="5"/>
  <c r="AU125" i="5"/>
  <c r="AV125" i="5"/>
  <c r="AU534" i="5"/>
  <c r="AV534" i="5"/>
  <c r="AU467" i="5"/>
  <c r="AV467" i="5"/>
  <c r="AV555" i="5"/>
  <c r="AU555" i="5"/>
  <c r="AV539" i="5"/>
  <c r="AU539" i="5"/>
  <c r="AV512" i="5"/>
  <c r="AU512" i="5"/>
  <c r="AV485" i="5"/>
  <c r="AU485" i="5"/>
  <c r="AU344" i="5"/>
  <c r="AV344" i="5"/>
  <c r="AU401" i="5"/>
  <c r="AV401" i="5"/>
  <c r="AV277" i="5"/>
  <c r="AU277" i="5"/>
  <c r="AU124" i="5"/>
  <c r="AV124" i="5"/>
  <c r="AV479" i="5"/>
  <c r="AU479" i="5"/>
  <c r="AU543" i="5"/>
  <c r="AV543" i="5"/>
  <c r="AV468" i="5"/>
  <c r="AU468" i="5"/>
  <c r="AV501" i="5"/>
  <c r="AU501" i="5"/>
  <c r="AV435" i="5"/>
  <c r="AU435" i="5"/>
  <c r="AV502" i="5"/>
  <c r="AU502" i="5"/>
  <c r="AV427" i="5"/>
  <c r="AU427" i="5"/>
  <c r="AV411" i="5"/>
  <c r="AU411" i="5"/>
  <c r="AV317" i="5"/>
  <c r="AU317" i="5"/>
  <c r="AU362" i="5"/>
  <c r="AV362" i="5"/>
  <c r="AV429" i="5"/>
  <c r="AU429" i="5"/>
  <c r="AV366" i="5"/>
  <c r="AU366" i="5"/>
  <c r="AV342" i="5"/>
  <c r="AU342" i="5"/>
  <c r="AU244" i="5"/>
  <c r="AV244" i="5"/>
  <c r="AV332" i="5"/>
  <c r="AU332" i="5"/>
  <c r="AU235" i="5"/>
  <c r="AV235" i="5"/>
  <c r="AV223" i="5"/>
  <c r="AU223" i="5"/>
  <c r="AU169" i="5"/>
  <c r="AV169" i="5"/>
  <c r="AV134" i="5"/>
  <c r="AU134" i="5"/>
  <c r="AV101" i="5"/>
  <c r="AU101" i="5"/>
  <c r="AV26" i="5"/>
  <c r="AU26" i="5"/>
  <c r="AV294" i="5"/>
  <c r="AU294" i="5"/>
  <c r="AV466" i="5"/>
  <c r="AU466" i="5"/>
  <c r="AU305" i="5"/>
  <c r="AV305" i="5"/>
  <c r="AV361" i="5"/>
  <c r="AU361" i="5"/>
  <c r="AV387" i="5"/>
  <c r="AU387" i="5"/>
  <c r="AU267" i="5"/>
  <c r="AV267" i="5"/>
  <c r="AV398" i="5"/>
  <c r="AU398" i="5"/>
  <c r="AV359" i="5"/>
  <c r="AU359" i="5"/>
  <c r="AU288" i="5"/>
  <c r="AV288" i="5"/>
  <c r="AU279" i="5"/>
  <c r="AV279" i="5"/>
  <c r="AU263" i="5"/>
  <c r="AV263" i="5"/>
  <c r="AU220" i="5"/>
  <c r="AV220" i="5"/>
  <c r="AU167" i="5"/>
  <c r="AV167" i="5"/>
  <c r="AV147" i="5"/>
  <c r="AU147" i="5"/>
  <c r="AV145" i="5"/>
  <c r="AU145" i="5"/>
  <c r="AU86" i="5"/>
  <c r="AV86" i="5"/>
  <c r="AU40" i="5"/>
  <c r="AV40" i="5"/>
  <c r="AV553" i="5"/>
  <c r="AU553" i="5"/>
  <c r="AV486" i="5"/>
  <c r="AU486" i="5"/>
  <c r="AV337" i="5"/>
  <c r="AU337" i="5"/>
  <c r="AV460" i="5"/>
  <c r="AU460" i="5"/>
  <c r="AU530" i="5"/>
  <c r="AV530" i="5"/>
  <c r="AU451" i="5"/>
  <c r="AV451" i="5"/>
  <c r="AV275" i="5"/>
  <c r="AU275" i="5"/>
  <c r="AU360" i="5"/>
  <c r="AV360" i="5"/>
  <c r="AU386" i="5"/>
  <c r="AV386" i="5"/>
  <c r="AV262" i="5"/>
  <c r="AU262" i="5"/>
  <c r="AU397" i="5"/>
  <c r="AV397" i="5"/>
  <c r="AU356" i="5"/>
  <c r="AV356" i="5"/>
  <c r="AV285" i="5"/>
  <c r="AU285" i="5"/>
  <c r="AV278" i="5"/>
  <c r="AU278" i="5"/>
  <c r="AU260" i="5"/>
  <c r="AV260" i="5"/>
  <c r="AV216" i="5"/>
  <c r="AU216" i="5"/>
  <c r="AU162" i="5"/>
  <c r="AV162" i="5"/>
  <c r="AU144" i="5"/>
  <c r="AV144" i="5"/>
  <c r="AV143" i="5"/>
  <c r="AU143" i="5"/>
  <c r="AU81" i="5"/>
  <c r="AV81" i="5"/>
  <c r="AU45" i="5"/>
  <c r="AV45" i="5"/>
  <c r="AV547" i="5"/>
  <c r="AU547" i="5"/>
  <c r="AV461" i="5"/>
  <c r="AU461" i="5"/>
  <c r="AU281" i="5"/>
  <c r="AV281" i="5"/>
  <c r="AU353" i="5"/>
  <c r="AV353" i="5"/>
  <c r="AV523" i="5"/>
  <c r="AU523" i="5"/>
  <c r="AV542" i="5"/>
  <c r="AU542" i="5"/>
  <c r="AV497" i="5"/>
  <c r="AU497" i="5"/>
  <c r="AU203" i="5"/>
  <c r="AV203" i="5"/>
  <c r="AU503" i="5"/>
  <c r="AV503" i="5"/>
  <c r="AU533" i="5"/>
  <c r="AV533" i="5"/>
  <c r="AV480" i="5"/>
  <c r="AU480" i="5"/>
  <c r="AU390" i="5"/>
  <c r="AV390" i="5"/>
  <c r="AU213" i="5"/>
  <c r="AV213" i="5"/>
  <c r="AV440" i="5"/>
  <c r="AU440" i="5"/>
  <c r="AV465" i="5"/>
  <c r="AU465" i="5"/>
  <c r="AU452" i="5"/>
  <c r="AV452" i="5"/>
  <c r="AV393" i="5"/>
  <c r="AU393" i="5"/>
  <c r="AU186" i="5"/>
  <c r="AV186" i="5"/>
  <c r="AV559" i="5"/>
  <c r="AU559" i="5"/>
  <c r="AU399" i="5"/>
  <c r="AV399" i="5"/>
  <c r="AV331" i="5"/>
  <c r="AU331" i="5"/>
  <c r="AU334" i="5"/>
  <c r="AV334" i="5"/>
  <c r="AU391" i="5"/>
  <c r="AV391" i="5"/>
  <c r="AV400" i="5"/>
  <c r="AU400" i="5"/>
  <c r="AV296" i="5"/>
  <c r="AU296" i="5"/>
  <c r="AU274" i="5"/>
  <c r="AV274" i="5"/>
  <c r="AV185" i="5"/>
  <c r="AU185" i="5"/>
  <c r="AV104" i="5"/>
  <c r="AU104" i="5"/>
  <c r="AU48" i="5"/>
  <c r="AV48" i="5"/>
  <c r="AV419" i="5"/>
  <c r="AU419" i="5"/>
  <c r="AU202" i="5"/>
  <c r="AV202" i="5"/>
  <c r="AV424" i="5"/>
  <c r="AU424" i="5"/>
  <c r="AV338" i="5"/>
  <c r="AU338" i="5"/>
  <c r="AV320" i="5"/>
  <c r="AU320" i="5"/>
  <c r="AU208" i="5"/>
  <c r="AV208" i="5"/>
  <c r="AV120" i="5"/>
  <c r="AU120" i="5"/>
  <c r="AV59" i="5"/>
  <c r="AU59" i="5"/>
  <c r="AV525" i="5"/>
  <c r="AU525" i="5"/>
  <c r="AV496" i="5"/>
  <c r="AU496" i="5"/>
  <c r="AV494" i="5"/>
  <c r="AU494" i="5"/>
  <c r="AV402" i="5"/>
  <c r="AU402" i="5"/>
  <c r="AV340" i="5"/>
  <c r="AU340" i="5"/>
  <c r="AV341" i="5"/>
  <c r="AU341" i="5"/>
  <c r="AV336" i="5"/>
  <c r="AU336" i="5"/>
  <c r="AU222" i="5"/>
  <c r="AV222" i="5"/>
  <c r="AU149" i="5"/>
  <c r="AV149" i="5"/>
  <c r="AV58" i="5"/>
  <c r="AU58" i="5"/>
  <c r="AU381" i="5"/>
  <c r="AV381" i="5"/>
  <c r="AV540" i="5"/>
  <c r="AU540" i="5"/>
  <c r="AV450" i="5"/>
  <c r="AU450" i="5"/>
  <c r="AV527" i="5"/>
  <c r="AU527" i="5"/>
  <c r="AV505" i="5"/>
  <c r="AU505" i="5"/>
  <c r="AV254" i="5"/>
  <c r="AU254" i="5"/>
  <c r="AV522" i="5"/>
  <c r="AU522" i="5"/>
  <c r="AV428" i="5"/>
  <c r="AU428" i="5"/>
  <c r="AV442" i="5"/>
  <c r="AU442" i="5"/>
  <c r="AV76" i="5"/>
  <c r="AU76" i="5"/>
  <c r="AU558" i="5"/>
  <c r="AV558" i="5"/>
  <c r="AU377" i="5"/>
  <c r="AV377" i="5"/>
  <c r="AV444" i="5"/>
  <c r="AU444" i="5"/>
  <c r="AU557" i="5"/>
  <c r="AV557" i="5"/>
  <c r="AV363" i="5"/>
  <c r="AU363" i="5"/>
  <c r="AU508" i="5"/>
  <c r="AV508" i="5"/>
  <c r="AV367" i="5"/>
  <c r="AU367" i="5"/>
  <c r="AV253" i="5"/>
  <c r="AU253" i="5"/>
  <c r="AU170" i="5"/>
  <c r="AV170" i="5"/>
  <c r="AU538" i="5"/>
  <c r="AV538" i="5"/>
  <c r="AU511" i="5"/>
  <c r="AV511" i="5"/>
  <c r="AV532" i="5"/>
  <c r="AU532" i="5"/>
  <c r="AU541" i="5"/>
  <c r="AV541" i="5"/>
  <c r="AV524" i="5"/>
  <c r="AU524" i="5"/>
  <c r="AV491" i="5"/>
  <c r="AU491" i="5"/>
  <c r="AU379" i="5"/>
  <c r="AV379" i="5"/>
  <c r="AU420" i="5"/>
  <c r="AV420" i="5"/>
  <c r="AU309" i="5"/>
  <c r="AV309" i="5"/>
  <c r="AV106" i="5"/>
  <c r="AU106" i="5"/>
  <c r="AU500" i="5"/>
  <c r="AV500" i="5"/>
  <c r="AV430" i="5"/>
  <c r="AU430" i="5"/>
  <c r="AU526" i="5"/>
  <c r="AV526" i="5"/>
  <c r="AU506" i="5"/>
  <c r="AV506" i="5"/>
  <c r="AV477" i="5"/>
  <c r="AU477" i="5"/>
  <c r="AV448" i="5"/>
  <c r="AU448" i="5"/>
  <c r="AV373" i="5"/>
  <c r="AU373" i="5"/>
  <c r="AV231" i="5"/>
  <c r="AU231" i="5"/>
  <c r="AU242" i="5"/>
  <c r="AV242" i="5"/>
  <c r="AU74" i="5"/>
  <c r="AV74" i="5"/>
  <c r="AU416" i="5"/>
  <c r="AV416" i="5"/>
  <c r="AU514" i="5"/>
  <c r="AV514" i="5"/>
  <c r="AU453" i="5"/>
  <c r="AV453" i="5"/>
  <c r="AU490" i="5"/>
  <c r="AV490" i="5"/>
  <c r="AU408" i="5"/>
  <c r="AV408" i="5"/>
  <c r="AU489" i="5"/>
  <c r="AV489" i="5"/>
  <c r="AU371" i="5"/>
  <c r="AV371" i="5"/>
  <c r="AU385" i="5"/>
  <c r="AV385" i="5"/>
  <c r="AU407" i="5"/>
  <c r="AV407" i="5"/>
  <c r="AV329" i="5"/>
  <c r="AU329" i="5"/>
  <c r="AV415" i="5"/>
  <c r="AU415" i="5"/>
  <c r="AV310" i="5"/>
  <c r="AU310" i="5"/>
  <c r="AU318" i="5"/>
  <c r="AV318" i="5"/>
  <c r="AV319" i="5"/>
  <c r="AU319" i="5"/>
  <c r="AU306" i="5"/>
  <c r="AV306" i="5"/>
  <c r="AU212" i="5"/>
  <c r="AV212" i="5"/>
  <c r="AV201" i="5"/>
  <c r="AU201" i="5"/>
  <c r="AV112" i="5"/>
  <c r="AU112" i="5"/>
  <c r="AU99" i="5"/>
  <c r="AV99" i="5"/>
  <c r="AV105" i="5"/>
  <c r="AU105" i="5"/>
  <c r="AU67" i="5"/>
  <c r="AV67" i="5"/>
  <c r="AV513" i="5"/>
  <c r="AU513" i="5"/>
  <c r="AV443" i="5"/>
  <c r="AU443" i="5"/>
  <c r="AV418" i="5"/>
  <c r="AU418" i="5"/>
  <c r="AV351" i="5"/>
  <c r="AU351" i="5"/>
  <c r="AV372" i="5"/>
  <c r="AU372" i="5"/>
  <c r="AV437" i="5"/>
  <c r="AU437" i="5"/>
  <c r="AV382" i="5"/>
  <c r="AU382" i="5"/>
  <c r="AV348" i="5"/>
  <c r="AU348" i="5"/>
  <c r="AV264" i="5"/>
  <c r="AU264" i="5"/>
  <c r="AU241" i="5"/>
  <c r="AV241" i="5"/>
  <c r="AV228" i="5"/>
  <c r="AU228" i="5"/>
  <c r="AU247" i="5"/>
  <c r="AV247" i="5"/>
  <c r="AV95" i="5"/>
  <c r="AU95" i="5"/>
  <c r="AU152" i="5"/>
  <c r="AV152" i="5"/>
  <c r="AU114" i="5"/>
  <c r="AV114" i="5"/>
  <c r="AU73" i="5"/>
  <c r="AV73" i="5"/>
  <c r="AU492" i="5"/>
  <c r="AV492" i="5"/>
  <c r="AV548" i="5"/>
  <c r="AU548" i="5"/>
  <c r="AV474" i="5"/>
  <c r="AU474" i="5"/>
  <c r="AV516" i="5"/>
  <c r="AU516" i="5"/>
  <c r="AV447" i="5"/>
  <c r="AU447" i="5"/>
  <c r="AV510" i="5"/>
  <c r="AU510" i="5"/>
  <c r="AV438" i="5"/>
  <c r="AU438" i="5"/>
  <c r="AV417" i="5"/>
  <c r="AU417" i="5"/>
  <c r="AV347" i="5"/>
  <c r="AU347" i="5"/>
  <c r="AU368" i="5"/>
  <c r="AV368" i="5"/>
  <c r="AV436" i="5"/>
  <c r="AU436" i="5"/>
  <c r="AV378" i="5"/>
  <c r="AU378" i="5"/>
  <c r="AV345" i="5"/>
  <c r="AU345" i="5"/>
  <c r="AV261" i="5"/>
  <c r="AU261" i="5"/>
  <c r="AV219" i="5"/>
  <c r="AU219" i="5"/>
  <c r="AV214" i="5"/>
  <c r="AU214" i="5"/>
  <c r="AU245" i="5"/>
  <c r="AV245" i="5"/>
  <c r="AU184" i="5"/>
  <c r="AV184" i="5"/>
  <c r="AU146" i="5"/>
  <c r="AV146" i="5"/>
  <c r="AU113" i="5"/>
  <c r="AV113" i="5"/>
  <c r="AU70" i="5"/>
  <c r="AV70" i="5"/>
  <c r="AU27" i="5"/>
  <c r="AV27" i="5"/>
  <c r="BA85" i="5"/>
  <c r="BB276" i="5"/>
  <c r="BA54" i="5"/>
  <c r="BA213" i="5"/>
  <c r="BB316" i="5"/>
  <c r="BB133" i="5"/>
  <c r="BB313" i="5"/>
  <c r="BB105" i="5"/>
  <c r="BA88" i="5"/>
  <c r="BB231" i="5"/>
  <c r="BA235" i="5"/>
  <c r="BB109" i="5"/>
  <c r="BB21" i="5"/>
  <c r="BB201" i="5"/>
  <c r="BA339" i="5"/>
  <c r="BB195" i="5"/>
  <c r="BB34" i="5"/>
  <c r="BB241" i="5"/>
  <c r="BB72" i="5"/>
  <c r="BA149" i="5"/>
  <c r="BB225" i="5"/>
  <c r="BB207" i="5"/>
  <c r="BB338" i="5"/>
  <c r="BA76" i="5"/>
  <c r="BB101" i="5"/>
  <c r="BA214" i="5"/>
  <c r="BA317" i="5"/>
  <c r="BA411" i="5"/>
  <c r="BA65" i="5"/>
  <c r="BB145" i="5"/>
  <c r="BB210" i="5"/>
  <c r="BB298" i="5"/>
  <c r="BA41" i="5"/>
  <c r="BA122" i="5"/>
  <c r="BB189" i="5"/>
  <c r="BB306" i="5"/>
  <c r="BB100" i="5"/>
  <c r="BA279" i="5"/>
  <c r="BB147" i="5"/>
  <c r="BA157" i="5"/>
  <c r="BA47" i="5"/>
  <c r="AK71" i="5"/>
  <c r="AL71" i="5"/>
  <c r="AL61" i="5"/>
  <c r="AK61" i="5"/>
  <c r="AK40" i="5"/>
  <c r="AL146" i="5"/>
  <c r="AK146" i="5"/>
  <c r="AK93" i="5"/>
  <c r="AL93" i="5"/>
  <c r="H57" i="1"/>
  <c r="B146" i="2"/>
  <c r="H61" i="1" s="1"/>
  <c r="B143" i="2"/>
  <c r="H59" i="1" s="1"/>
  <c r="AS31" i="5"/>
  <c r="BC31" i="5" s="1"/>
  <c r="AS466" i="5"/>
  <c r="BC466" i="5" s="1"/>
  <c r="AS417" i="5"/>
  <c r="BC417" i="5" s="1"/>
  <c r="AS422" i="5"/>
  <c r="BC422" i="5" s="1"/>
  <c r="AS497" i="5"/>
  <c r="AS449" i="5"/>
  <c r="AS405" i="5"/>
  <c r="AS492" i="5"/>
  <c r="AS264" i="5"/>
  <c r="AS26" i="5"/>
  <c r="BC26" i="5" s="1"/>
  <c r="AS12" i="5"/>
  <c r="AS287" i="5"/>
  <c r="BC287" i="5" s="1"/>
  <c r="BE287" i="5" s="1"/>
  <c r="AS339" i="5"/>
  <c r="BC339" i="5" s="1"/>
  <c r="AS446" i="5"/>
  <c r="BC446" i="5" s="1"/>
  <c r="AS91" i="5"/>
  <c r="BC91" i="5" s="1"/>
  <c r="AS161" i="5"/>
  <c r="BC161" i="5" s="1"/>
  <c r="AS484" i="5"/>
  <c r="BC484" i="5" s="1"/>
  <c r="AS310" i="5"/>
  <c r="BC310" i="5" s="1"/>
  <c r="AS50" i="5"/>
  <c r="BC50" i="5" s="1"/>
  <c r="AS435" i="5"/>
  <c r="BC435" i="5" s="1"/>
  <c r="AS210" i="5"/>
  <c r="BC210" i="5" s="1"/>
  <c r="BE210" i="5" s="1"/>
  <c r="AS71" i="5"/>
  <c r="BC71" i="5" s="1"/>
  <c r="BE71" i="5" s="1"/>
  <c r="AS177" i="5"/>
  <c r="BC177" i="5" s="1"/>
  <c r="AS540" i="5"/>
  <c r="BC540" i="5" s="1"/>
  <c r="AS511" i="5"/>
  <c r="BC511" i="5" s="1"/>
  <c r="AS444" i="5"/>
  <c r="BC444" i="5" s="1"/>
  <c r="AS548" i="5"/>
  <c r="AS319" i="5"/>
  <c r="BC319" i="5" s="1"/>
  <c r="AS455" i="5"/>
  <c r="AS128" i="5"/>
  <c r="AS528" i="5"/>
  <c r="BC528" i="5" s="1"/>
  <c r="AS434" i="5"/>
  <c r="BC434" i="5" s="1"/>
  <c r="AS205" i="5"/>
  <c r="BC205" i="5" s="1"/>
  <c r="AS538" i="5"/>
  <c r="BC538" i="5" s="1"/>
  <c r="AS452" i="5"/>
  <c r="BC452" i="5" s="1"/>
  <c r="AS265" i="5"/>
  <c r="BC265" i="5" s="1"/>
  <c r="AS64" i="5"/>
  <c r="BC64" i="5" s="1"/>
  <c r="BE64" i="5" s="1"/>
  <c r="AS114" i="5"/>
  <c r="BC114" i="5" s="1"/>
  <c r="BD114" i="5" s="1"/>
  <c r="AS11" i="5"/>
  <c r="AS514" i="5"/>
  <c r="BC514" i="5" s="1"/>
  <c r="AS382" i="5"/>
  <c r="AS373" i="5"/>
  <c r="BC373" i="5" s="1"/>
  <c r="AS500" i="5"/>
  <c r="BC500" i="5" s="1"/>
  <c r="AS258" i="5"/>
  <c r="BC258" i="5" s="1"/>
  <c r="AS426" i="5"/>
  <c r="BC426" i="5" s="1"/>
  <c r="AS54" i="5"/>
  <c r="BC54" i="5" s="1"/>
  <c r="AS429" i="5"/>
  <c r="AS439" i="5"/>
  <c r="BC439" i="5" s="1"/>
  <c r="AS208" i="5"/>
  <c r="BC208" i="5" s="1"/>
  <c r="AS240" i="5"/>
  <c r="BC240" i="5" s="1"/>
  <c r="AS550" i="5"/>
  <c r="BC550" i="5" s="1"/>
  <c r="AS506" i="5"/>
  <c r="BC506" i="5" s="1"/>
  <c r="AS496" i="5"/>
  <c r="BC496" i="5" s="1"/>
  <c r="AS350" i="5"/>
  <c r="BC350" i="5" s="1"/>
  <c r="AS159" i="5"/>
  <c r="BC159" i="5" s="1"/>
  <c r="AS33" i="5"/>
  <c r="BC33" i="5" s="1"/>
  <c r="AS164" i="5"/>
  <c r="BC164" i="5" s="1"/>
  <c r="BE164" i="5" s="1"/>
  <c r="AS292" i="5"/>
  <c r="BC292" i="5" s="1"/>
  <c r="AS252" i="5"/>
  <c r="BC252" i="5" s="1"/>
  <c r="AS418" i="5"/>
  <c r="BC418" i="5" s="1"/>
  <c r="AS43" i="5"/>
  <c r="BC43" i="5" s="1"/>
  <c r="BD43" i="5" s="1"/>
  <c r="AS120" i="5"/>
  <c r="BC120" i="5" s="1"/>
  <c r="AS219" i="5"/>
  <c r="BC219" i="5" s="1"/>
  <c r="BD219" i="5" s="1"/>
  <c r="AS290" i="5"/>
  <c r="BC290" i="5" s="1"/>
  <c r="AS315" i="5"/>
  <c r="BC315" i="5" s="1"/>
  <c r="BE315" i="5" s="1"/>
  <c r="AS442" i="5"/>
  <c r="BC442" i="5" s="1"/>
  <c r="AS156" i="5"/>
  <c r="BC156" i="5" s="1"/>
  <c r="AS21" i="5"/>
  <c r="AS154" i="5"/>
  <c r="BC154" i="5" s="1"/>
  <c r="AS505" i="5"/>
  <c r="BC505" i="5" s="1"/>
  <c r="AS197" i="5"/>
  <c r="BC197" i="5" s="1"/>
  <c r="AS524" i="5"/>
  <c r="BC524" i="5" s="1"/>
  <c r="AS390" i="5"/>
  <c r="BC390" i="5" s="1"/>
  <c r="AS359" i="5"/>
  <c r="BC359" i="5" s="1"/>
  <c r="AS101" i="5"/>
  <c r="BC101" i="5" s="1"/>
  <c r="AS200" i="5"/>
  <c r="BC200" i="5" s="1"/>
  <c r="AS199" i="5"/>
  <c r="BC199" i="5" s="1"/>
  <c r="AS146" i="5"/>
  <c r="BC146" i="5" s="1"/>
  <c r="AS212" i="5"/>
  <c r="BC212" i="5" s="1"/>
  <c r="AS55" i="5"/>
  <c r="BC55" i="5" s="1"/>
  <c r="BD55" i="5" s="1"/>
  <c r="AS460" i="5"/>
  <c r="AS109" i="5"/>
  <c r="BC109" i="5" s="1"/>
  <c r="AS365" i="5"/>
  <c r="BC365" i="5" s="1"/>
  <c r="AS28" i="5"/>
  <c r="BC28" i="5" s="1"/>
  <c r="AS179" i="5"/>
  <c r="BC179" i="5" s="1"/>
  <c r="AS467" i="5"/>
  <c r="BC467" i="5" s="1"/>
  <c r="AS180" i="5"/>
  <c r="BC180" i="5" s="1"/>
  <c r="BE180" i="5" s="1"/>
  <c r="AS398" i="5"/>
  <c r="BC398" i="5" s="1"/>
  <c r="AS207" i="5"/>
  <c r="BC207" i="5" s="1"/>
  <c r="AS428" i="5"/>
  <c r="BC428" i="5" s="1"/>
  <c r="AS488" i="5"/>
  <c r="BC488" i="5" s="1"/>
  <c r="AS306" i="5"/>
  <c r="BC306" i="5" s="1"/>
  <c r="BD306" i="5" s="1"/>
  <c r="AS98" i="5"/>
  <c r="BC98" i="5" s="1"/>
  <c r="BE98" i="5" s="1"/>
  <c r="AS512" i="5"/>
  <c r="BC512" i="5" s="1"/>
  <c r="AS304" i="5"/>
  <c r="BC304" i="5" s="1"/>
  <c r="AS46" i="5"/>
  <c r="BC46" i="5" s="1"/>
  <c r="AS202" i="5"/>
  <c r="BC202" i="5" s="1"/>
  <c r="AS337" i="5"/>
  <c r="BC337" i="5" s="1"/>
  <c r="BD337" i="5" s="1"/>
  <c r="AS228" i="5"/>
  <c r="BC228" i="5" s="1"/>
  <c r="AS552" i="5"/>
  <c r="BC552" i="5" s="1"/>
  <c r="AS157" i="5"/>
  <c r="BC157" i="5" s="1"/>
  <c r="AS355" i="5"/>
  <c r="AS508" i="5"/>
  <c r="AS515" i="5"/>
  <c r="BC515" i="5" s="1"/>
  <c r="AS215" i="5"/>
  <c r="BC215" i="5" s="1"/>
  <c r="AS29" i="5"/>
  <c r="BC29" i="5" s="1"/>
  <c r="AS454" i="5"/>
  <c r="AS402" i="5"/>
  <c r="BC402" i="5" s="1"/>
  <c r="AS222" i="5"/>
  <c r="BC222" i="5" s="1"/>
  <c r="BE222" i="5" s="1"/>
  <c r="AS84" i="5"/>
  <c r="BC84" i="5" s="1"/>
  <c r="BE84" i="5" s="1"/>
  <c r="AS225" i="5"/>
  <c r="BC225" i="5" s="1"/>
  <c r="AS302" i="5"/>
  <c r="BC302" i="5" s="1"/>
  <c r="AS380" i="5"/>
  <c r="BC380" i="5" s="1"/>
  <c r="AS86" i="5"/>
  <c r="BC86" i="5" s="1"/>
  <c r="BE86" i="5" s="1"/>
  <c r="AS230" i="5"/>
  <c r="AS358" i="5"/>
  <c r="BC358" i="5" s="1"/>
  <c r="AS371" i="5"/>
  <c r="BC371" i="5" s="1"/>
  <c r="AS149" i="5"/>
  <c r="BC149" i="5" s="1"/>
  <c r="AS192" i="5"/>
  <c r="BC192" i="5" s="1"/>
  <c r="AS85" i="5"/>
  <c r="BC85" i="5" s="1"/>
  <c r="AS22" i="5"/>
  <c r="BC22" i="5" s="1"/>
  <c r="BD22" i="5" s="1"/>
  <c r="AS234" i="5"/>
  <c r="BC234" i="5" s="1"/>
  <c r="BD234" i="5" s="1"/>
  <c r="AS254" i="5"/>
  <c r="BC254" i="5" s="1"/>
  <c r="AS403" i="5"/>
  <c r="BC403" i="5" s="1"/>
  <c r="AS106" i="5"/>
  <c r="BC106" i="5" s="1"/>
  <c r="AS178" i="5"/>
  <c r="BC178" i="5" s="1"/>
  <c r="AS259" i="5"/>
  <c r="AS368" i="5"/>
  <c r="BC368" i="5" s="1"/>
  <c r="AS384" i="5"/>
  <c r="AS143" i="5"/>
  <c r="BC143" i="5" s="1"/>
  <c r="AS66" i="5"/>
  <c r="BC66" i="5" s="1"/>
  <c r="BE66" i="5" s="1"/>
  <c r="AS122" i="5"/>
  <c r="BC122" i="5" s="1"/>
  <c r="BD122" i="5" s="1"/>
  <c r="AS99" i="5"/>
  <c r="BC99" i="5" s="1"/>
  <c r="AS36" i="5"/>
  <c r="BC36" i="5" s="1"/>
  <c r="AS267" i="5"/>
  <c r="BC267" i="5" s="1"/>
  <c r="AS283" i="5"/>
  <c r="BC283" i="5" s="1"/>
  <c r="BD283" i="5" s="1"/>
  <c r="AS425" i="5"/>
  <c r="BC425" i="5" s="1"/>
  <c r="AS148" i="5"/>
  <c r="BC148" i="5" s="1"/>
  <c r="AS195" i="5"/>
  <c r="BC195" i="5" s="1"/>
  <c r="BD195" i="5" s="1"/>
  <c r="AS271" i="5"/>
  <c r="BC271" i="5" s="1"/>
  <c r="AS386" i="5"/>
  <c r="BC386" i="5" s="1"/>
  <c r="AS399" i="5"/>
  <c r="BC399" i="5" s="1"/>
  <c r="AS115" i="5"/>
  <c r="BC115" i="5" s="1"/>
  <c r="BE115" i="5" s="1"/>
  <c r="AS47" i="5"/>
  <c r="BC47" i="5" s="1"/>
  <c r="AS184" i="5"/>
  <c r="BC184" i="5" s="1"/>
  <c r="AS100" i="5"/>
  <c r="BC100" i="5" s="1"/>
  <c r="BE100" i="5" s="1"/>
  <c r="AS45" i="5"/>
  <c r="BC45" i="5" s="1"/>
  <c r="BD45" i="5" s="1"/>
  <c r="AS303" i="5"/>
  <c r="AS409" i="5"/>
  <c r="BC409" i="5" s="1"/>
  <c r="AS336" i="5"/>
  <c r="BC336" i="5" s="1"/>
  <c r="AS96" i="5"/>
  <c r="BC96" i="5" s="1"/>
  <c r="AS216" i="5"/>
  <c r="BC216" i="5" s="1"/>
  <c r="AS327" i="5"/>
  <c r="BC327" i="5" s="1"/>
  <c r="AS324" i="5"/>
  <c r="BC324" i="5" s="1"/>
  <c r="AS357" i="5"/>
  <c r="BC357" i="5" s="1"/>
  <c r="AS182" i="5"/>
  <c r="BC182" i="5" s="1"/>
  <c r="AS78" i="5"/>
  <c r="BC78" i="5" s="1"/>
  <c r="BE78" i="5" s="1"/>
  <c r="AS172" i="5"/>
  <c r="BC172" i="5" s="1"/>
  <c r="AS142" i="5"/>
  <c r="BC142" i="5" s="1"/>
  <c r="AS37" i="5"/>
  <c r="BC37" i="5" s="1"/>
  <c r="AS522" i="5"/>
  <c r="BC522" i="5" s="1"/>
  <c r="AS366" i="5"/>
  <c r="BC366" i="5" s="1"/>
  <c r="AS165" i="5"/>
  <c r="BC165" i="5" s="1"/>
  <c r="AS322" i="5"/>
  <c r="AS110" i="5"/>
  <c r="BC110" i="5" s="1"/>
  <c r="AS464" i="5"/>
  <c r="BC464" i="5" s="1"/>
  <c r="AS51" i="5"/>
  <c r="BC51" i="5" s="1"/>
  <c r="BD51" i="5" s="1"/>
  <c r="AS471" i="5"/>
  <c r="AS438" i="5"/>
  <c r="AS556" i="5"/>
  <c r="BC556" i="5" s="1"/>
  <c r="AS479" i="5"/>
  <c r="BC479" i="5" s="1"/>
  <c r="AS489" i="5"/>
  <c r="BC489" i="5" s="1"/>
  <c r="AS389" i="5"/>
  <c r="BC389" i="5" s="1"/>
  <c r="AS558" i="5"/>
  <c r="BC558" i="5" s="1"/>
  <c r="AS342" i="5"/>
  <c r="BC342" i="5" s="1"/>
  <c r="AS56" i="5"/>
  <c r="BC56" i="5" s="1"/>
  <c r="AS13" i="5"/>
  <c r="AS256" i="5"/>
  <c r="BC256" i="5" s="1"/>
  <c r="AS547" i="5"/>
  <c r="BC547" i="5" s="1"/>
  <c r="AS223" i="5"/>
  <c r="BC223" i="5" s="1"/>
  <c r="BE223" i="5" s="1"/>
  <c r="AS81" i="5"/>
  <c r="BC81" i="5" s="1"/>
  <c r="AS313" i="5"/>
  <c r="BC313" i="5" s="1"/>
  <c r="AS473" i="5"/>
  <c r="BC473" i="5" s="1"/>
  <c r="AS340" i="5"/>
  <c r="BC340" i="5" s="1"/>
  <c r="AS27" i="5"/>
  <c r="BC27" i="5" s="1"/>
  <c r="BD27" i="5" s="1"/>
  <c r="AS516" i="5"/>
  <c r="BC516" i="5" s="1"/>
  <c r="AS139" i="5"/>
  <c r="BC139" i="5" s="1"/>
  <c r="AS93" i="5"/>
  <c r="BC93" i="5" s="1"/>
  <c r="AS430" i="5"/>
  <c r="AS494" i="5"/>
  <c r="BC494" i="5" s="1"/>
  <c r="AS551" i="5"/>
  <c r="BC551" i="5" s="1"/>
  <c r="AS485" i="5"/>
  <c r="BC485" i="5" s="1"/>
  <c r="AS23" i="5"/>
  <c r="BC23" i="5" s="1"/>
  <c r="BE23" i="5" s="1"/>
  <c r="AS227" i="5"/>
  <c r="BC227" i="5" s="1"/>
  <c r="AS519" i="5"/>
  <c r="BC519" i="5" s="1"/>
  <c r="AS397" i="5"/>
  <c r="BC397" i="5" s="1"/>
  <c r="AS299" i="5"/>
  <c r="BC299" i="5" s="1"/>
  <c r="BD299" i="5" s="1"/>
  <c r="AS443" i="5"/>
  <c r="BC443" i="5" s="1"/>
  <c r="AS498" i="5"/>
  <c r="BC498" i="5" s="1"/>
  <c r="AS407" i="5"/>
  <c r="BC407" i="5" s="1"/>
  <c r="AS111" i="5"/>
  <c r="BC111" i="5" s="1"/>
  <c r="AS116" i="5"/>
  <c r="BC116" i="5" s="1"/>
  <c r="AS231" i="5"/>
  <c r="BC231" i="5" s="1"/>
  <c r="BE231" i="5" s="1"/>
  <c r="AS367" i="5"/>
  <c r="BC367" i="5" s="1"/>
  <c r="AS388" i="5"/>
  <c r="BC388" i="5" s="1"/>
  <c r="AS123" i="5"/>
  <c r="AS282" i="5"/>
  <c r="AS354" i="5"/>
  <c r="BC354" i="5" s="1"/>
  <c r="AS348" i="5"/>
  <c r="BC348" i="5" s="1"/>
  <c r="AS57" i="5"/>
  <c r="BC57" i="5" s="1"/>
  <c r="AS152" i="5"/>
  <c r="BC152" i="5" s="1"/>
  <c r="AS97" i="5"/>
  <c r="BC97" i="5" s="1"/>
  <c r="BE97" i="5" s="1"/>
  <c r="AS201" i="5"/>
  <c r="BC201" i="5" s="1"/>
  <c r="AS321" i="5"/>
  <c r="BC321" i="5" s="1"/>
  <c r="AS361" i="5"/>
  <c r="AS472" i="5"/>
  <c r="BC472" i="5" s="1"/>
  <c r="AS140" i="5"/>
  <c r="BC140" i="5" s="1"/>
  <c r="AS238" i="5"/>
  <c r="BC238" i="5" s="1"/>
  <c r="AS198" i="5"/>
  <c r="BC198" i="5" s="1"/>
  <c r="BD198" i="5" s="1"/>
  <c r="AS193" i="5"/>
  <c r="BC193" i="5" s="1"/>
  <c r="AS394" i="5"/>
  <c r="BC394" i="5" s="1"/>
  <c r="AS131" i="5"/>
  <c r="BC131" i="5" s="1"/>
  <c r="AS25" i="5"/>
  <c r="BC25" i="5" s="1"/>
  <c r="AS141" i="5"/>
  <c r="BC141" i="5" s="1"/>
  <c r="BD141" i="5" s="1"/>
  <c r="AS48" i="5"/>
  <c r="BC48" i="5" s="1"/>
  <c r="BD48" i="5" s="1"/>
  <c r="AS266" i="5"/>
  <c r="BC266" i="5" s="1"/>
  <c r="AS331" i="5"/>
  <c r="AS383" i="5"/>
  <c r="BC383" i="5" s="1"/>
  <c r="AS490" i="5"/>
  <c r="AS155" i="5"/>
  <c r="BC155" i="5" s="1"/>
  <c r="AS194" i="5"/>
  <c r="BC194" i="5" s="1"/>
  <c r="AS247" i="5"/>
  <c r="BC247" i="5" s="1"/>
  <c r="AS257" i="5"/>
  <c r="BC257" i="5" s="1"/>
  <c r="AS406" i="5"/>
  <c r="BC406" i="5" s="1"/>
  <c r="AS117" i="5"/>
  <c r="BC117" i="5" s="1"/>
  <c r="AS40" i="5"/>
  <c r="BC40" i="5" s="1"/>
  <c r="AS121" i="5"/>
  <c r="BC121" i="5" s="1"/>
  <c r="AS75" i="5"/>
  <c r="BC75" i="5" s="1"/>
  <c r="BD75" i="5" s="1"/>
  <c r="AS214" i="5"/>
  <c r="BC214" i="5" s="1"/>
  <c r="BE214" i="5" s="1"/>
  <c r="AS284" i="5"/>
  <c r="BC284" i="5" s="1"/>
  <c r="AS312" i="5"/>
  <c r="AS436" i="5"/>
  <c r="BC436" i="5" s="1"/>
  <c r="AS102" i="5"/>
  <c r="BC102" i="5" s="1"/>
  <c r="AS217" i="5"/>
  <c r="BC217" i="5" s="1"/>
  <c r="AS291" i="5"/>
  <c r="BC291" i="5" s="1"/>
  <c r="AS396" i="5"/>
  <c r="BC396" i="5" s="1"/>
  <c r="AS416" i="5"/>
  <c r="AS88" i="5"/>
  <c r="BC88" i="5" s="1"/>
  <c r="AS65" i="5"/>
  <c r="BC65" i="5" s="1"/>
  <c r="BD65" i="5" s="1"/>
  <c r="AS169" i="5"/>
  <c r="BC169" i="5" s="1"/>
  <c r="AS83" i="5"/>
  <c r="BC83" i="5" s="1"/>
  <c r="BD83" i="5" s="1"/>
  <c r="AS445" i="5"/>
  <c r="BC445" i="5" s="1"/>
  <c r="AS504" i="5"/>
  <c r="BC504" i="5" s="1"/>
  <c r="AS493" i="5"/>
  <c r="BC493" i="5" s="1"/>
  <c r="AS135" i="5"/>
  <c r="BC135" i="5" s="1"/>
  <c r="AS235" i="5"/>
  <c r="BC235" i="5" s="1"/>
  <c r="AS468" i="5"/>
  <c r="BC468" i="5" s="1"/>
  <c r="AS241" i="5"/>
  <c r="BC241" i="5" s="1"/>
  <c r="AS333" i="5"/>
  <c r="BC333" i="5" s="1"/>
  <c r="AS539" i="5"/>
  <c r="BC539" i="5" s="1"/>
  <c r="AS408" i="5"/>
  <c r="BC408" i="5" s="1"/>
  <c r="AS502" i="5"/>
  <c r="BC502" i="5" s="1"/>
  <c r="AS459" i="5"/>
  <c r="BC459" i="5" s="1"/>
  <c r="AS431" i="5"/>
  <c r="BC431" i="5" s="1"/>
  <c r="AS173" i="5"/>
  <c r="BC173" i="5" s="1"/>
  <c r="AS534" i="5"/>
  <c r="BC534" i="5" s="1"/>
  <c r="AS250" i="5"/>
  <c r="BC250" i="5" s="1"/>
  <c r="AS535" i="5"/>
  <c r="BC535" i="5" s="1"/>
  <c r="AS463" i="5"/>
  <c r="AS82" i="5"/>
  <c r="BC82" i="5" s="1"/>
  <c r="BD82" i="5" s="1"/>
  <c r="AS423" i="5"/>
  <c r="BC423" i="5" s="1"/>
  <c r="AS63" i="5"/>
  <c r="BC63" i="5" s="1"/>
  <c r="AS253" i="5"/>
  <c r="BC253" i="5" s="1"/>
  <c r="AS456" i="5"/>
  <c r="BC456" i="5" s="1"/>
  <c r="AS183" i="5"/>
  <c r="BC183" i="5" s="1"/>
  <c r="AS118" i="5"/>
  <c r="BC118" i="5" s="1"/>
  <c r="AS138" i="5"/>
  <c r="BC138" i="5" s="1"/>
  <c r="AS308" i="5"/>
  <c r="BC308" i="5" s="1"/>
  <c r="AS334" i="5"/>
  <c r="BC334" i="5" s="1"/>
  <c r="AS181" i="5"/>
  <c r="BC181" i="5" s="1"/>
  <c r="AS305" i="5"/>
  <c r="BC305" i="5" s="1"/>
  <c r="BE305" i="5" s="1"/>
  <c r="AS458" i="5"/>
  <c r="BC458" i="5" s="1"/>
  <c r="AS211" i="5"/>
  <c r="BC211" i="5" s="1"/>
  <c r="AS53" i="5"/>
  <c r="BC53" i="5" s="1"/>
  <c r="BD53" i="5" s="1"/>
  <c r="AS301" i="5"/>
  <c r="BC301" i="5" s="1"/>
  <c r="AS60" i="5"/>
  <c r="BC60" i="5" s="1"/>
  <c r="AS246" i="5"/>
  <c r="BC246" i="5" s="1"/>
  <c r="BD246" i="5" s="1"/>
  <c r="AS369" i="5"/>
  <c r="BC369" i="5" s="1"/>
  <c r="BE369" i="5" s="1"/>
  <c r="AS104" i="5"/>
  <c r="AS133" i="5"/>
  <c r="BC133" i="5" s="1"/>
  <c r="BD133" i="5" s="1"/>
  <c r="AS279" i="5"/>
  <c r="BC279" i="5" s="1"/>
  <c r="AS404" i="5"/>
  <c r="BC404" i="5" s="1"/>
  <c r="AS127" i="5"/>
  <c r="BC127" i="5" s="1"/>
  <c r="BD127" i="5" s="1"/>
  <c r="AS268" i="5"/>
  <c r="BC268" i="5" s="1"/>
  <c r="AS433" i="5"/>
  <c r="BC433" i="5" s="1"/>
  <c r="AS42" i="5"/>
  <c r="BC42" i="5" s="1"/>
  <c r="AS35" i="5"/>
  <c r="BC35" i="5" s="1"/>
  <c r="BE35" i="5" s="1"/>
  <c r="AS320" i="5"/>
  <c r="BC320" i="5" s="1"/>
  <c r="AS410" i="5"/>
  <c r="BC410" i="5" s="1"/>
  <c r="AS124" i="5"/>
  <c r="BC124" i="5" s="1"/>
  <c r="AS326" i="5"/>
  <c r="BC326" i="5" s="1"/>
  <c r="AS39" i="5"/>
  <c r="BC39" i="5" s="1"/>
  <c r="AS103" i="5"/>
  <c r="AS391" i="5"/>
  <c r="BC391" i="5" s="1"/>
  <c r="AS220" i="5"/>
  <c r="BC220" i="5" s="1"/>
  <c r="AS518" i="5"/>
  <c r="BC518" i="5" s="1"/>
  <c r="AS343" i="5"/>
  <c r="AS381" i="5"/>
  <c r="AS105" i="5"/>
  <c r="BC105" i="5" s="1"/>
  <c r="AS134" i="5"/>
  <c r="BC134" i="5" s="1"/>
  <c r="AS349" i="5"/>
  <c r="BC349" i="5" s="1"/>
  <c r="AS125" i="5"/>
  <c r="BC125" i="5" s="1"/>
  <c r="AS196" i="5"/>
  <c r="BC196" i="5" s="1"/>
  <c r="AS176" i="5"/>
  <c r="BC176" i="5" s="1"/>
  <c r="AS542" i="5"/>
  <c r="BC542" i="5" s="1"/>
  <c r="AS170" i="5"/>
  <c r="BC170" i="5" s="1"/>
  <c r="AS483" i="5"/>
  <c r="BC483" i="5" s="1"/>
  <c r="AS332" i="5"/>
  <c r="BC332" i="5" s="1"/>
  <c r="AS187" i="5"/>
  <c r="AS224" i="5"/>
  <c r="BC224" i="5" s="1"/>
  <c r="AS448" i="5"/>
  <c r="BC448" i="5" s="1"/>
  <c r="AS24" i="5"/>
  <c r="BC24" i="5" s="1"/>
  <c r="AS364" i="5"/>
  <c r="BC364" i="5" s="1"/>
  <c r="AS527" i="5"/>
  <c r="BC527" i="5" s="1"/>
  <c r="AS520" i="5"/>
  <c r="BC520" i="5" s="1"/>
  <c r="AS32" i="5"/>
  <c r="BC32" i="5" s="1"/>
  <c r="AS531" i="5"/>
  <c r="AS513" i="5"/>
  <c r="BC513" i="5" s="1"/>
  <c r="AS377" i="5"/>
  <c r="BC377" i="5" s="1"/>
  <c r="AS507" i="5"/>
  <c r="BC507" i="5" s="1"/>
  <c r="AS144" i="5"/>
  <c r="BC144" i="5" s="1"/>
  <c r="BD144" i="5" s="1"/>
  <c r="AS263" i="5"/>
  <c r="BC263" i="5" s="1"/>
  <c r="BE263" i="5" s="1"/>
  <c r="AS34" i="5"/>
  <c r="BC34" i="5" s="1"/>
  <c r="BD34" i="5" s="1"/>
  <c r="AS323" i="5"/>
  <c r="BC323" i="5" s="1"/>
  <c r="AS38" i="5"/>
  <c r="BC38" i="5" s="1"/>
  <c r="BD38" i="5" s="1"/>
  <c r="AS307" i="5"/>
  <c r="BC307" i="5" s="1"/>
  <c r="AS163" i="5"/>
  <c r="BC163" i="5" s="1"/>
  <c r="BD163" i="5" s="1"/>
  <c r="AS112" i="5"/>
  <c r="BC112" i="5" s="1"/>
  <c r="BE112" i="5" s="1"/>
  <c r="AS269" i="5"/>
  <c r="BC269" i="5" s="1"/>
  <c r="BE269" i="5" s="1"/>
  <c r="AS395" i="5"/>
  <c r="BC395" i="5" s="1"/>
  <c r="AS204" i="5"/>
  <c r="BC204" i="5" s="1"/>
  <c r="AS255" i="5"/>
  <c r="BC255" i="5" s="1"/>
  <c r="AS162" i="5"/>
  <c r="BC162" i="5" s="1"/>
  <c r="AS168" i="5"/>
  <c r="BC168" i="5" s="1"/>
  <c r="BD168" i="5" s="1"/>
  <c r="AS62" i="5"/>
  <c r="BC62" i="5" s="1"/>
  <c r="AS393" i="5"/>
  <c r="BC393" i="5" s="1"/>
  <c r="BD393" i="5" s="1"/>
  <c r="AS79" i="5"/>
  <c r="AS311" i="5"/>
  <c r="BC311" i="5" s="1"/>
  <c r="AS335" i="5"/>
  <c r="AS74" i="5"/>
  <c r="BC74" i="5" s="1"/>
  <c r="AS160" i="5"/>
  <c r="BC160" i="5" s="1"/>
  <c r="AS171" i="5"/>
  <c r="BC171" i="5" s="1"/>
  <c r="AS370" i="5"/>
  <c r="BC370" i="5" s="1"/>
  <c r="AS175" i="5"/>
  <c r="BC175" i="5" s="1"/>
  <c r="BE175" i="5" s="1"/>
  <c r="AS341" i="5"/>
  <c r="BC341" i="5" s="1"/>
  <c r="AS174" i="5"/>
  <c r="BC174" i="5" s="1"/>
  <c r="AS158" i="5"/>
  <c r="BC158" i="5" s="1"/>
  <c r="BE158" i="5" s="1"/>
  <c r="AS58" i="5"/>
  <c r="BC58" i="5" s="1"/>
  <c r="AS206" i="5"/>
  <c r="BC206" i="5" s="1"/>
  <c r="AS486" i="5"/>
  <c r="BC486" i="5" s="1"/>
  <c r="AS376" i="5"/>
  <c r="BC376" i="5" s="1"/>
  <c r="AS378" i="5"/>
  <c r="BC378" i="5" s="1"/>
  <c r="AS530" i="5"/>
  <c r="BC530" i="5" s="1"/>
  <c r="AS153" i="5"/>
  <c r="BC153" i="5" s="1"/>
  <c r="AS526" i="5"/>
  <c r="BC526" i="5" s="1"/>
  <c r="AS328" i="5"/>
  <c r="BC328" i="5" s="1"/>
  <c r="AS461" i="5"/>
  <c r="AS20" i="5"/>
  <c r="BC20" i="5" s="1"/>
  <c r="AS451" i="5"/>
  <c r="AS145" i="5"/>
  <c r="BC145" i="5" s="1"/>
  <c r="AS441" i="5"/>
  <c r="BC441" i="5" s="1"/>
  <c r="AS69" i="5"/>
  <c r="BC69" i="5" s="1"/>
  <c r="AS274" i="5"/>
  <c r="BC274" i="5" s="1"/>
  <c r="AS237" i="5"/>
  <c r="BC237" i="5" s="1"/>
  <c r="BD237" i="5" s="1"/>
  <c r="AS147" i="5"/>
  <c r="BC147" i="5" s="1"/>
  <c r="AS346" i="5"/>
  <c r="BC346" i="5" s="1"/>
  <c r="AS475" i="5"/>
  <c r="BC475" i="5" s="1"/>
  <c r="AS30" i="5"/>
  <c r="BC30" i="5" s="1"/>
  <c r="AS203" i="5"/>
  <c r="BC203" i="5" s="1"/>
  <c r="AS107" i="5"/>
  <c r="AS457" i="5"/>
  <c r="AS419" i="5"/>
  <c r="BC419" i="5" s="1"/>
  <c r="AS517" i="5"/>
  <c r="BC517" i="5" s="1"/>
  <c r="AS420" i="5"/>
  <c r="BC420" i="5" s="1"/>
  <c r="AS248" i="5"/>
  <c r="BC248" i="5" s="1"/>
  <c r="AS544" i="5"/>
  <c r="BC544" i="5" s="1"/>
  <c r="AS213" i="5"/>
  <c r="BC213" i="5" s="1"/>
  <c r="AS330" i="5"/>
  <c r="BC330" i="5" s="1"/>
  <c r="AS374" i="5"/>
  <c r="BC374" i="5" s="1"/>
  <c r="AS229" i="5"/>
  <c r="BC229" i="5" s="1"/>
  <c r="AS411" i="5"/>
  <c r="BC411" i="5" s="1"/>
  <c r="AS72" i="5"/>
  <c r="BC72" i="5" s="1"/>
  <c r="AS297" i="5"/>
  <c r="BC297" i="5" s="1"/>
  <c r="AS61" i="5"/>
  <c r="BC61" i="5" s="1"/>
  <c r="BD61" i="5" s="1"/>
  <c r="AS413" i="5"/>
  <c r="BC413" i="5" s="1"/>
  <c r="AS277" i="5"/>
  <c r="BC277" i="5" s="1"/>
  <c r="AS44" i="5"/>
  <c r="BC44" i="5" s="1"/>
  <c r="BD44" i="5" s="1"/>
  <c r="AS270" i="5"/>
  <c r="BC270" i="5" s="1"/>
  <c r="AS95" i="5"/>
  <c r="BC95" i="5" s="1"/>
  <c r="AS482" i="5"/>
  <c r="BC482" i="5" s="1"/>
  <c r="AS529" i="5"/>
  <c r="BC529" i="5" s="1"/>
  <c r="AS151" i="5"/>
  <c r="BC151" i="5" s="1"/>
  <c r="AS67" i="5"/>
  <c r="BC67" i="5" s="1"/>
  <c r="AS167" i="5"/>
  <c r="BC167" i="5" s="1"/>
  <c r="AS375" i="5"/>
  <c r="BC375" i="5" s="1"/>
  <c r="AS314" i="5"/>
  <c r="BC314" i="5" s="1"/>
  <c r="AS300" i="5"/>
  <c r="AS166" i="5"/>
  <c r="BC166" i="5" s="1"/>
  <c r="BE166" i="5" s="1"/>
  <c r="AS76" i="5"/>
  <c r="BC76" i="5" s="1"/>
  <c r="AS41" i="5"/>
  <c r="BC41" i="5" s="1"/>
  <c r="BD41" i="5" s="1"/>
  <c r="AS347" i="5"/>
  <c r="BC347" i="5" s="1"/>
  <c r="AS325" i="5"/>
  <c r="BC325" i="5" s="1"/>
  <c r="AS137" i="5"/>
  <c r="BC137" i="5" s="1"/>
  <c r="AS189" i="5"/>
  <c r="BC189" i="5" s="1"/>
  <c r="AS352" i="5"/>
  <c r="BC352" i="5" s="1"/>
  <c r="BE352" i="5" s="1"/>
  <c r="AS295" i="5"/>
  <c r="BC295" i="5" s="1"/>
  <c r="AS244" i="5"/>
  <c r="BC244" i="5" s="1"/>
  <c r="AS474" i="5"/>
  <c r="BC474" i="5" s="1"/>
  <c r="AS119" i="5"/>
  <c r="BC119" i="5" s="1"/>
  <c r="BD119" i="5" s="1"/>
  <c r="AS338" i="5"/>
  <c r="BC338" i="5" s="1"/>
  <c r="BD338" i="5" s="1"/>
  <c r="AS239" i="5"/>
  <c r="AS89" i="5"/>
  <c r="BC89" i="5" s="1"/>
  <c r="AS260" i="5"/>
  <c r="BC260" i="5" s="1"/>
  <c r="AS278" i="5"/>
  <c r="BC278" i="5" s="1"/>
  <c r="BD278" i="5" s="1"/>
  <c r="AS232" i="5"/>
  <c r="BC232" i="5" s="1"/>
  <c r="AS52" i="5"/>
  <c r="BC52" i="5" s="1"/>
  <c r="AS77" i="5"/>
  <c r="AS249" i="5"/>
  <c r="BC249" i="5" s="1"/>
  <c r="AS288" i="5"/>
  <c r="BC288" i="5" s="1"/>
  <c r="AS186" i="5"/>
  <c r="BC186" i="5" s="1"/>
  <c r="AS130" i="5"/>
  <c r="BC130" i="5" s="1"/>
  <c r="BE130" i="5" s="1"/>
  <c r="AS49" i="5"/>
  <c r="BC49" i="5" s="1"/>
  <c r="AS385" i="5"/>
  <c r="BC385" i="5" s="1"/>
  <c r="AS480" i="5"/>
  <c r="BC480" i="5" s="1"/>
  <c r="AS316" i="5"/>
  <c r="BC316" i="5" s="1"/>
  <c r="BD316" i="5" s="1"/>
  <c r="AS87" i="5"/>
  <c r="BC87" i="5" s="1"/>
  <c r="AS465" i="5"/>
  <c r="BC465" i="5" s="1"/>
  <c r="AS363" i="5"/>
  <c r="BC363" i="5" s="1"/>
  <c r="AS424" i="5"/>
  <c r="BC424" i="5" s="1"/>
  <c r="AS281" i="5"/>
  <c r="BC281" i="5" s="1"/>
  <c r="AS537" i="5"/>
  <c r="AS275" i="5"/>
  <c r="BC275" i="5" s="1"/>
  <c r="AS372" i="5"/>
  <c r="BC372" i="5" s="1"/>
  <c r="AS129" i="5"/>
  <c r="BC129" i="5" s="1"/>
  <c r="AS427" i="5"/>
  <c r="BC427" i="5" s="1"/>
  <c r="AS108" i="5"/>
  <c r="BC108" i="5" s="1"/>
  <c r="AS421" i="5"/>
  <c r="AS543" i="5"/>
  <c r="BC543" i="5" s="1"/>
  <c r="BE543" i="5" s="1"/>
  <c r="AS7" i="5"/>
  <c r="BC7" i="5" s="1"/>
  <c r="BD7" i="5" s="1"/>
  <c r="AS555" i="5"/>
  <c r="BC555" i="5" s="1"/>
  <c r="BE555" i="5" s="1"/>
  <c r="AS509" i="5"/>
  <c r="BC509" i="5" s="1"/>
  <c r="AS491" i="5"/>
  <c r="BC491" i="5" s="1"/>
  <c r="AS440" i="5"/>
  <c r="BC440" i="5" s="1"/>
  <c r="AS94" i="5"/>
  <c r="BC94" i="5" s="1"/>
  <c r="BD94" i="5" s="1"/>
  <c r="AS437" i="5"/>
  <c r="BC437" i="5" s="1"/>
  <c r="AS285" i="5"/>
  <c r="BC285" i="5" s="1"/>
  <c r="AS545" i="5"/>
  <c r="BC545" i="5" s="1"/>
  <c r="AS549" i="5"/>
  <c r="BC549" i="5" s="1"/>
  <c r="BE549" i="5" s="1"/>
  <c r="AS136" i="5"/>
  <c r="BC136" i="5" s="1"/>
  <c r="AS296" i="5"/>
  <c r="BC296" i="5" s="1"/>
  <c r="BD296" i="5" s="1"/>
  <c r="AS262" i="5"/>
  <c r="BC262" i="5" s="1"/>
  <c r="BE262" i="5" s="1"/>
  <c r="AS245" i="5"/>
  <c r="BC245" i="5" s="1"/>
  <c r="BD245" i="5" s="1"/>
  <c r="AS289" i="5"/>
  <c r="BC289" i="5" s="1"/>
  <c r="AS280" i="5"/>
  <c r="BC280" i="5" s="1"/>
  <c r="AS59" i="5"/>
  <c r="BC59" i="5" s="1"/>
  <c r="BE59" i="5" s="1"/>
  <c r="AS190" i="5"/>
  <c r="BC190" i="5" s="1"/>
  <c r="AS559" i="5"/>
  <c r="BC559" i="5" s="1"/>
  <c r="AS226" i="5"/>
  <c r="BC226" i="5" s="1"/>
  <c r="AS309" i="5"/>
  <c r="BC309" i="5" s="1"/>
  <c r="AS185" i="5"/>
  <c r="BC185" i="5" s="1"/>
  <c r="AS379" i="5"/>
  <c r="AS242" i="5"/>
  <c r="BC242" i="5" s="1"/>
  <c r="AS553" i="5"/>
  <c r="BC553" i="5" s="1"/>
  <c r="AS362" i="5"/>
  <c r="BC362" i="5" s="1"/>
  <c r="AS150" i="5"/>
  <c r="BC150" i="5" s="1"/>
  <c r="AS525" i="5"/>
  <c r="BC525" i="5" s="1"/>
  <c r="AS345" i="5"/>
  <c r="BC345" i="5" s="1"/>
  <c r="AS92" i="5"/>
  <c r="BC92" i="5" s="1"/>
  <c r="AS298" i="5"/>
  <c r="BC298" i="5" s="1"/>
  <c r="AS191" i="5"/>
  <c r="BC191" i="5" s="1"/>
  <c r="BE191" i="5" s="1"/>
  <c r="AS462" i="5"/>
  <c r="AS432" i="5"/>
  <c r="BC432" i="5" s="1"/>
  <c r="AS412" i="5"/>
  <c r="BC412" i="5" s="1"/>
  <c r="AS521" i="5"/>
  <c r="BC521" i="5" s="1"/>
  <c r="BD521" i="5" s="1"/>
  <c r="AS353" i="5"/>
  <c r="BC353" i="5" s="1"/>
  <c r="AS401" i="5"/>
  <c r="BC401" i="5" s="1"/>
  <c r="AS90" i="5"/>
  <c r="AS453" i="5"/>
  <c r="BC453" i="5" s="1"/>
  <c r="BD453" i="5" s="1"/>
  <c r="AS450" i="5"/>
  <c r="BC450" i="5" s="1"/>
  <c r="AS360" i="5"/>
  <c r="BC360" i="5" s="1"/>
  <c r="AS344" i="5"/>
  <c r="BC344" i="5" s="1"/>
  <c r="BE344" i="5" s="1"/>
  <c r="AS392" i="5"/>
  <c r="BC392" i="5" s="1"/>
  <c r="AS251" i="5"/>
  <c r="BC251" i="5" s="1"/>
  <c r="AS510" i="5"/>
  <c r="BC510" i="5" s="1"/>
  <c r="AS560" i="5"/>
  <c r="BC560" i="5" s="1"/>
  <c r="BE560" i="5" s="1"/>
  <c r="AS536" i="5"/>
  <c r="BC536" i="5" s="1"/>
  <c r="BD536" i="5" s="1"/>
  <c r="AS476" i="5"/>
  <c r="BC476" i="5" s="1"/>
  <c r="AS477" i="5"/>
  <c r="BC477" i="5" s="1"/>
  <c r="AS503" i="5"/>
  <c r="BC503" i="5" s="1"/>
  <c r="AS469" i="5"/>
  <c r="BC469" i="5" s="1"/>
  <c r="BD469" i="5" s="1"/>
  <c r="AS10" i="5"/>
  <c r="AS70" i="5"/>
  <c r="BC70" i="5" s="1"/>
  <c r="BD70" i="5" s="1"/>
  <c r="AS209" i="5"/>
  <c r="BC209" i="5" s="1"/>
  <c r="AS400" i="5"/>
  <c r="BC400" i="5" s="1"/>
  <c r="AS233" i="5"/>
  <c r="BC233" i="5" s="1"/>
  <c r="AS415" i="5"/>
  <c r="BC415" i="5" s="1"/>
  <c r="AS80" i="5"/>
  <c r="BC80" i="5" s="1"/>
  <c r="AS294" i="5"/>
  <c r="BC294" i="5" s="1"/>
  <c r="AS73" i="5"/>
  <c r="BC73" i="5" s="1"/>
  <c r="AS113" i="5"/>
  <c r="BC113" i="5" s="1"/>
  <c r="BD113" i="5" s="1"/>
  <c r="AS533" i="5"/>
  <c r="BC533" i="5" s="1"/>
  <c r="BD533" i="5" s="1"/>
  <c r="AS478" i="5"/>
  <c r="BC478" i="5" s="1"/>
  <c r="AS9" i="5"/>
  <c r="AS218" i="5"/>
  <c r="BC218" i="5" s="1"/>
  <c r="AS132" i="5"/>
  <c r="BC132" i="5" s="1"/>
  <c r="AS557" i="5"/>
  <c r="BC557" i="5" s="1"/>
  <c r="AS293" i="5"/>
  <c r="BC293" i="5" s="1"/>
  <c r="AS501" i="5"/>
  <c r="BC501" i="5" s="1"/>
  <c r="AS126" i="5"/>
  <c r="BC126" i="5" s="1"/>
  <c r="AS499" i="5"/>
  <c r="BC499" i="5" s="1"/>
  <c r="AS541" i="5"/>
  <c r="BC541" i="5" s="1"/>
  <c r="AS481" i="5"/>
  <c r="BC481" i="5" s="1"/>
  <c r="BD481" i="5" s="1"/>
  <c r="AS236" i="5"/>
  <c r="BC236" i="5" s="1"/>
  <c r="BD236" i="5" s="1"/>
  <c r="AS554" i="5"/>
  <c r="BC554" i="5" s="1"/>
  <c r="AS286" i="5"/>
  <c r="BC286" i="5" s="1"/>
  <c r="AS273" i="5"/>
  <c r="BC273" i="5" s="1"/>
  <c r="AS487" i="5"/>
  <c r="BC487" i="5" s="1"/>
  <c r="AS470" i="5"/>
  <c r="BC470" i="5" s="1"/>
  <c r="BE470" i="5" s="1"/>
  <c r="AS68" i="5"/>
  <c r="BC68" i="5" s="1"/>
  <c r="AS221" i="5"/>
  <c r="BC221" i="5" s="1"/>
  <c r="BE221" i="5" s="1"/>
  <c r="AS317" i="5"/>
  <c r="BC317" i="5" s="1"/>
  <c r="AS8" i="5"/>
  <c r="BC8" i="5" s="1"/>
  <c r="BD8" i="5" s="1"/>
  <c r="AS329" i="5"/>
  <c r="BC329" i="5" s="1"/>
  <c r="BE329" i="5" s="1"/>
  <c r="AS447" i="5"/>
  <c r="BC447" i="5" s="1"/>
  <c r="AS351" i="5"/>
  <c r="BC351" i="5" s="1"/>
  <c r="AS532" i="5"/>
  <c r="BC532" i="5" s="1"/>
  <c r="AS546" i="5"/>
  <c r="BC546" i="5" s="1"/>
  <c r="AS414" i="5"/>
  <c r="BC414" i="5" s="1"/>
  <c r="AS387" i="5"/>
  <c r="BC387" i="5" s="1"/>
  <c r="AS318" i="5"/>
  <c r="BC318" i="5" s="1"/>
  <c r="AS272" i="5"/>
  <c r="BC272" i="5" s="1"/>
  <c r="AS523" i="5"/>
  <c r="BC523" i="5" s="1"/>
  <c r="AS188" i="5"/>
  <c r="BC188" i="5" s="1"/>
  <c r="BE188" i="5" s="1"/>
  <c r="AS495" i="5"/>
  <c r="BC495" i="5" s="1"/>
  <c r="BE495" i="5" s="1"/>
  <c r="AS276" i="5"/>
  <c r="BC276" i="5" s="1"/>
  <c r="AS356" i="5"/>
  <c r="BC356" i="5" s="1"/>
  <c r="BD356" i="5" s="1"/>
  <c r="AS243" i="5"/>
  <c r="BC243" i="5" s="1"/>
  <c r="AS261" i="5"/>
  <c r="BC261" i="5" s="1"/>
  <c r="AS19" i="5"/>
  <c r="BC19" i="5" s="1"/>
  <c r="BC537" i="5"/>
  <c r="BD537" i="5" s="1"/>
  <c r="BC462" i="5"/>
  <c r="BD462" i="5" s="1"/>
  <c r="BB552" i="5"/>
  <c r="BA552" i="5"/>
  <c r="BB539" i="5"/>
  <c r="BA539" i="5"/>
  <c r="BA514" i="5"/>
  <c r="BB514" i="5"/>
  <c r="BA273" i="5"/>
  <c r="BB273" i="5"/>
  <c r="BB376" i="5"/>
  <c r="BA376" i="5"/>
  <c r="BA90" i="5"/>
  <c r="BB90" i="5"/>
  <c r="BB456" i="5"/>
  <c r="BA456" i="5"/>
  <c r="BA498" i="5"/>
  <c r="BB498" i="5"/>
  <c r="BA349" i="5"/>
  <c r="BB349" i="5"/>
  <c r="BA258" i="5"/>
  <c r="BB258" i="5"/>
  <c r="BB155" i="5"/>
  <c r="BA155" i="5"/>
  <c r="BA534" i="5"/>
  <c r="BB534" i="5"/>
  <c r="BA519" i="5"/>
  <c r="BB519" i="5"/>
  <c r="BA379" i="5"/>
  <c r="BB379" i="5"/>
  <c r="BA385" i="5"/>
  <c r="BB385" i="5"/>
  <c r="BB170" i="5"/>
  <c r="BA170" i="5"/>
  <c r="BB513" i="5"/>
  <c r="BA513" i="5"/>
  <c r="BB441" i="5"/>
  <c r="BA441" i="5"/>
  <c r="BA204" i="5"/>
  <c r="BB204" i="5"/>
  <c r="BC379" i="5"/>
  <c r="BA535" i="5"/>
  <c r="BB535" i="5"/>
  <c r="BA445" i="5"/>
  <c r="BB445" i="5"/>
  <c r="BA485" i="5"/>
  <c r="BB485" i="5"/>
  <c r="BA520" i="5"/>
  <c r="BB520" i="5"/>
  <c r="BB487" i="5"/>
  <c r="BA487" i="5"/>
  <c r="BB434" i="5"/>
  <c r="BA434" i="5"/>
  <c r="BA506" i="5"/>
  <c r="BB506" i="5"/>
  <c r="BA427" i="5"/>
  <c r="BB427" i="5"/>
  <c r="BB497" i="5"/>
  <c r="BA497" i="5"/>
  <c r="BA362" i="5"/>
  <c r="BB362" i="5"/>
  <c r="BB355" i="5"/>
  <c r="BA355" i="5"/>
  <c r="BA209" i="5"/>
  <c r="BB209" i="5"/>
  <c r="BB370" i="5"/>
  <c r="BA370" i="5"/>
  <c r="BA436" i="5"/>
  <c r="BB436" i="5"/>
  <c r="BB319" i="5"/>
  <c r="BA319" i="5"/>
  <c r="BB272" i="5"/>
  <c r="BA272" i="5"/>
  <c r="BB182" i="5"/>
  <c r="BA182" i="5"/>
  <c r="BB124" i="5"/>
  <c r="BA124" i="5"/>
  <c r="BA79" i="5"/>
  <c r="BB79" i="5"/>
  <c r="BB537" i="5"/>
  <c r="BA537" i="5"/>
  <c r="BA481" i="5"/>
  <c r="BB481" i="5"/>
  <c r="BA557" i="5"/>
  <c r="BB557" i="5"/>
  <c r="BA328" i="5"/>
  <c r="BB328" i="5"/>
  <c r="BB505" i="5"/>
  <c r="BA505" i="5"/>
  <c r="BB473" i="5"/>
  <c r="BA473" i="5"/>
  <c r="BA387" i="5"/>
  <c r="BB387" i="5"/>
  <c r="BB474" i="5"/>
  <c r="BA474" i="5"/>
  <c r="BB394" i="5"/>
  <c r="BA394" i="5"/>
  <c r="BA472" i="5"/>
  <c r="BB472" i="5"/>
  <c r="BB406" i="5"/>
  <c r="BA406" i="5"/>
  <c r="BB340" i="5"/>
  <c r="BA340" i="5"/>
  <c r="BA408" i="5"/>
  <c r="BB408" i="5"/>
  <c r="BA356" i="5"/>
  <c r="BB356" i="5"/>
  <c r="BA420" i="5"/>
  <c r="BB420" i="5"/>
  <c r="BA343" i="5"/>
  <c r="BB343" i="5"/>
  <c r="BB281" i="5"/>
  <c r="BA281" i="5"/>
  <c r="BB203" i="5"/>
  <c r="BA203" i="5"/>
  <c r="BA106" i="5"/>
  <c r="BB106" i="5"/>
  <c r="BA28" i="5"/>
  <c r="BB28" i="5"/>
  <c r="BB542" i="5"/>
  <c r="BA542" i="5"/>
  <c r="BB524" i="5"/>
  <c r="BA524" i="5"/>
  <c r="BB517" i="5"/>
  <c r="BA517" i="5"/>
  <c r="BB523" i="5"/>
  <c r="BA523" i="5"/>
  <c r="BB489" i="5"/>
  <c r="BA489" i="5"/>
  <c r="BB443" i="5"/>
  <c r="BA443" i="5"/>
  <c r="BA511" i="5"/>
  <c r="BB511" i="5"/>
  <c r="BA439" i="5"/>
  <c r="BB439" i="5"/>
  <c r="BA515" i="5"/>
  <c r="BB515" i="5"/>
  <c r="BA401" i="5"/>
  <c r="BB401" i="5"/>
  <c r="BB366" i="5"/>
  <c r="BA366" i="5"/>
  <c r="BA254" i="5"/>
  <c r="BB254" i="5"/>
  <c r="BA377" i="5"/>
  <c r="BB377" i="5"/>
  <c r="BA250" i="5"/>
  <c r="BB250" i="5"/>
  <c r="BB360" i="5"/>
  <c r="BA360" i="5"/>
  <c r="BB321" i="5"/>
  <c r="BA321" i="5"/>
  <c r="BA217" i="5"/>
  <c r="BB217" i="5"/>
  <c r="BA104" i="5"/>
  <c r="BB104" i="5"/>
  <c r="BB77" i="5"/>
  <c r="BA77" i="5"/>
  <c r="BA19" i="5"/>
  <c r="BB19" i="5"/>
  <c r="BB501" i="5"/>
  <c r="BA501" i="5"/>
  <c r="BA558" i="5"/>
  <c r="BB558" i="5"/>
  <c r="BB425" i="5"/>
  <c r="BA425" i="5"/>
  <c r="BB509" i="5"/>
  <c r="BA509" i="5"/>
  <c r="BB479" i="5"/>
  <c r="BA479" i="5"/>
  <c r="BA405" i="5"/>
  <c r="BB405" i="5"/>
  <c r="BB480" i="5"/>
  <c r="BA480" i="5"/>
  <c r="BA403" i="5"/>
  <c r="BB403" i="5"/>
  <c r="BA478" i="5"/>
  <c r="BB478" i="5"/>
  <c r="BB416" i="5"/>
  <c r="BA416" i="5"/>
  <c r="BA342" i="5"/>
  <c r="BB342" i="5"/>
  <c r="BB417" i="5"/>
  <c r="BA417" i="5"/>
  <c r="BB361" i="5"/>
  <c r="BA361" i="5"/>
  <c r="BA428" i="5"/>
  <c r="BB428" i="5"/>
  <c r="BA358" i="5"/>
  <c r="BB358" i="5"/>
  <c r="BB307" i="5"/>
  <c r="BA307" i="5"/>
  <c r="BA205" i="5"/>
  <c r="BB205" i="5"/>
  <c r="BB128" i="5"/>
  <c r="BA128" i="5"/>
  <c r="BB58" i="5"/>
  <c r="BA58" i="5"/>
  <c r="BA543" i="5"/>
  <c r="BB543" i="5"/>
  <c r="BA493" i="5"/>
  <c r="BB493" i="5"/>
  <c r="BB447" i="5"/>
  <c r="BA447" i="5"/>
  <c r="BA442" i="5"/>
  <c r="BB442" i="5"/>
  <c r="BA260" i="5"/>
  <c r="BB260" i="5"/>
  <c r="BA244" i="5"/>
  <c r="BB244" i="5"/>
  <c r="BA36" i="5"/>
  <c r="BB36" i="5"/>
  <c r="BA437" i="5"/>
  <c r="BB437" i="5"/>
  <c r="BB486" i="5"/>
  <c r="BA486" i="5"/>
  <c r="BB426" i="5"/>
  <c r="BA426" i="5"/>
  <c r="BA354" i="5"/>
  <c r="BB354" i="5"/>
  <c r="BA365" i="5"/>
  <c r="BB365" i="5"/>
  <c r="BB253" i="5"/>
  <c r="BA253" i="5"/>
  <c r="BA49" i="5"/>
  <c r="BB49" i="5"/>
  <c r="BA549" i="5"/>
  <c r="BB549" i="5"/>
  <c r="BA495" i="5"/>
  <c r="BB495" i="5"/>
  <c r="BB462" i="5"/>
  <c r="BA462" i="5"/>
  <c r="BB457" i="5"/>
  <c r="BA457" i="5"/>
  <c r="BA389" i="5"/>
  <c r="BB389" i="5"/>
  <c r="BA275" i="5"/>
  <c r="BB275" i="5"/>
  <c r="BB102" i="5"/>
  <c r="BA102" i="5"/>
  <c r="BB541" i="5"/>
  <c r="BA541" i="5"/>
  <c r="BA522" i="5"/>
  <c r="BB522" i="5"/>
  <c r="BA507" i="5"/>
  <c r="BB507" i="5"/>
  <c r="BB504" i="5"/>
  <c r="BA504" i="5"/>
  <c r="BA364" i="5"/>
  <c r="BB364" i="5"/>
  <c r="BB375" i="5"/>
  <c r="BA375" i="5"/>
  <c r="BB294" i="5"/>
  <c r="BA294" i="5"/>
  <c r="BB142" i="5"/>
  <c r="BA142" i="5"/>
  <c r="BC90" i="5"/>
  <c r="BA546" i="5"/>
  <c r="BB546" i="5"/>
  <c r="BB491" i="5"/>
  <c r="BA491" i="5"/>
  <c r="BA560" i="5"/>
  <c r="BB560" i="5"/>
  <c r="BA421" i="5"/>
  <c r="BB421" i="5"/>
  <c r="BA508" i="5"/>
  <c r="BB508" i="5"/>
  <c r="BB476" i="5"/>
  <c r="BA476" i="5"/>
  <c r="BA396" i="5"/>
  <c r="BB396" i="5"/>
  <c r="BB477" i="5"/>
  <c r="BA477" i="5"/>
  <c r="BA397" i="5"/>
  <c r="BB397" i="5"/>
  <c r="BA475" i="5"/>
  <c r="BB475" i="5"/>
  <c r="BA415" i="5"/>
  <c r="BB415" i="5"/>
  <c r="BA341" i="5"/>
  <c r="BB341" i="5"/>
  <c r="BB413" i="5"/>
  <c r="BA413" i="5"/>
  <c r="BA359" i="5"/>
  <c r="BB359" i="5"/>
  <c r="BB423" i="5"/>
  <c r="BA423" i="5"/>
  <c r="BA357" i="5"/>
  <c r="BB357" i="5"/>
  <c r="BB291" i="5"/>
  <c r="BA291" i="5"/>
  <c r="BB165" i="5"/>
  <c r="BA165" i="5"/>
  <c r="BA120" i="5"/>
  <c r="BB120" i="5"/>
  <c r="BA63" i="5"/>
  <c r="BB63" i="5"/>
  <c r="BB438" i="5"/>
  <c r="BA438" i="5"/>
  <c r="BA550" i="5"/>
  <c r="BB550" i="5"/>
  <c r="BA536" i="5"/>
  <c r="BB536" i="5"/>
  <c r="BA555" i="5"/>
  <c r="BB555" i="5"/>
  <c r="BB499" i="5"/>
  <c r="BA499" i="5"/>
  <c r="BA455" i="5"/>
  <c r="BB455" i="5"/>
  <c r="BB308" i="5"/>
  <c r="BA308" i="5"/>
  <c r="BA465" i="5"/>
  <c r="BB465" i="5"/>
  <c r="BB270" i="5"/>
  <c r="BA270" i="5"/>
  <c r="BA458" i="5"/>
  <c r="BB458" i="5"/>
  <c r="BB388" i="5"/>
  <c r="BA388" i="5"/>
  <c r="BA289" i="5"/>
  <c r="BB289" i="5"/>
  <c r="BB390" i="5"/>
  <c r="BA390" i="5"/>
  <c r="BA304" i="5"/>
  <c r="BB304" i="5"/>
  <c r="BB404" i="5"/>
  <c r="BA404" i="5"/>
  <c r="BB301" i="5"/>
  <c r="BA301" i="5"/>
  <c r="BB239" i="5"/>
  <c r="BA239" i="5"/>
  <c r="BB185" i="5"/>
  <c r="BA185" i="5"/>
  <c r="BA87" i="5"/>
  <c r="BB87" i="5"/>
  <c r="BA33" i="5"/>
  <c r="BB33" i="5"/>
  <c r="BA528" i="5"/>
  <c r="BB528" i="5"/>
  <c r="BB433" i="5"/>
  <c r="BA433" i="5"/>
  <c r="BB449" i="5"/>
  <c r="BA449" i="5"/>
  <c r="BB510" i="5"/>
  <c r="BA510" i="5"/>
  <c r="BA482" i="5"/>
  <c r="BB482" i="5"/>
  <c r="BB430" i="5"/>
  <c r="BA430" i="5"/>
  <c r="BB484" i="5"/>
  <c r="BA484" i="5"/>
  <c r="BB412" i="5"/>
  <c r="BA412" i="5"/>
  <c r="BA490" i="5"/>
  <c r="BB490" i="5"/>
  <c r="BA311" i="5"/>
  <c r="BB311" i="5"/>
  <c r="BB348" i="5"/>
  <c r="BA348" i="5"/>
  <c r="BB418" i="5"/>
  <c r="BA418" i="5"/>
  <c r="BA363" i="5"/>
  <c r="BB363" i="5"/>
  <c r="BA431" i="5"/>
  <c r="BB431" i="5"/>
  <c r="BB224" i="5"/>
  <c r="BA224" i="5"/>
  <c r="BB327" i="5"/>
  <c r="BA327" i="5"/>
  <c r="BA216" i="5"/>
  <c r="BB216" i="5"/>
  <c r="BA146" i="5"/>
  <c r="BB146" i="5"/>
  <c r="BA57" i="5"/>
  <c r="BB57" i="5"/>
  <c r="BB464" i="5"/>
  <c r="BA464" i="5"/>
  <c r="BA407" i="5"/>
  <c r="BB407" i="5"/>
  <c r="BB548" i="5"/>
  <c r="BA548" i="5"/>
  <c r="BA229" i="5"/>
  <c r="BB229" i="5"/>
  <c r="BB502" i="5"/>
  <c r="BA502" i="5"/>
  <c r="BA466" i="5"/>
  <c r="BB466" i="5"/>
  <c r="BB353" i="5"/>
  <c r="BA353" i="5"/>
  <c r="BB468" i="5"/>
  <c r="BA468" i="5"/>
  <c r="BA382" i="5"/>
  <c r="BB382" i="5"/>
  <c r="BB460" i="5"/>
  <c r="BA460" i="5"/>
  <c r="BB398" i="5"/>
  <c r="BA398" i="5"/>
  <c r="BB333" i="5"/>
  <c r="BA333" i="5"/>
  <c r="BA399" i="5"/>
  <c r="BB399" i="5"/>
  <c r="BB345" i="5"/>
  <c r="BA345" i="5"/>
  <c r="BA410" i="5"/>
  <c r="BB410" i="5"/>
  <c r="BA320" i="5"/>
  <c r="BB320" i="5"/>
  <c r="BB259" i="5"/>
  <c r="BA259" i="5"/>
  <c r="BB162" i="5"/>
  <c r="BA162" i="5"/>
  <c r="BB129" i="5"/>
  <c r="BA129" i="5"/>
  <c r="BB42" i="5"/>
  <c r="BA42" i="5"/>
  <c r="BA527" i="5"/>
  <c r="BB527" i="5"/>
  <c r="BA451" i="5"/>
  <c r="BB451" i="5"/>
  <c r="BA526" i="5"/>
  <c r="BB526" i="5"/>
  <c r="BA374" i="5"/>
  <c r="BB374" i="5"/>
  <c r="BA384" i="5"/>
  <c r="BB384" i="5"/>
  <c r="BA248" i="5"/>
  <c r="BB248" i="5"/>
  <c r="BB181" i="5"/>
  <c r="BA181" i="5"/>
  <c r="BA533" i="5"/>
  <c r="BB533" i="5"/>
  <c r="BB518" i="5"/>
  <c r="BA518" i="5"/>
  <c r="BB432" i="5"/>
  <c r="BA432" i="5"/>
  <c r="BA496" i="5"/>
  <c r="BB496" i="5"/>
  <c r="BB419" i="5"/>
  <c r="BA419" i="5"/>
  <c r="BA435" i="5"/>
  <c r="BB435" i="5"/>
  <c r="BB233" i="5"/>
  <c r="BA233" i="5"/>
  <c r="BA372" i="5"/>
  <c r="BB372" i="5"/>
  <c r="BB554" i="5"/>
  <c r="BA554" i="5"/>
  <c r="BB454" i="5"/>
  <c r="BA454" i="5"/>
  <c r="BB532" i="5"/>
  <c r="BA532" i="5"/>
  <c r="BB286" i="5"/>
  <c r="BA286" i="5"/>
  <c r="BA293" i="5"/>
  <c r="BB293" i="5"/>
  <c r="BB215" i="5"/>
  <c r="BA215" i="5"/>
  <c r="BA37" i="5"/>
  <c r="BB37" i="5"/>
  <c r="BB448" i="5"/>
  <c r="BA448" i="5"/>
  <c r="BB488" i="5"/>
  <c r="BA488" i="5"/>
  <c r="BB429" i="5"/>
  <c r="BA429" i="5"/>
  <c r="BA368" i="5"/>
  <c r="BB368" i="5"/>
  <c r="BA245" i="5"/>
  <c r="BB245" i="5"/>
  <c r="BB440" i="5"/>
  <c r="BA440" i="5"/>
  <c r="BB335" i="5"/>
  <c r="BA335" i="5"/>
  <c r="BA62" i="5"/>
  <c r="BB62" i="5"/>
  <c r="BB450" i="5"/>
  <c r="BA450" i="5"/>
  <c r="BB551" i="5"/>
  <c r="BA551" i="5"/>
  <c r="BB540" i="5"/>
  <c r="BA540" i="5"/>
  <c r="BB556" i="5"/>
  <c r="BA556" i="5"/>
  <c r="BB500" i="5"/>
  <c r="BA500" i="5"/>
  <c r="BB463" i="5"/>
  <c r="BA463" i="5"/>
  <c r="BB347" i="5"/>
  <c r="BA347" i="5"/>
  <c r="BB467" i="5"/>
  <c r="BA467" i="5"/>
  <c r="BA325" i="5"/>
  <c r="BB325" i="5"/>
  <c r="BB459" i="5"/>
  <c r="BA459" i="5"/>
  <c r="BB395" i="5"/>
  <c r="BA395" i="5"/>
  <c r="BA292" i="5"/>
  <c r="BB292" i="5"/>
  <c r="BA392" i="5"/>
  <c r="BB392" i="5"/>
  <c r="BA334" i="5"/>
  <c r="BB334" i="5"/>
  <c r="BB409" i="5"/>
  <c r="BA409" i="5"/>
  <c r="BB310" i="5"/>
  <c r="BA310" i="5"/>
  <c r="BA193" i="5"/>
  <c r="BB193" i="5"/>
  <c r="BB143" i="5"/>
  <c r="BA143" i="5"/>
  <c r="BA99" i="5"/>
  <c r="BB99" i="5"/>
  <c r="BA46" i="5"/>
  <c r="BB46" i="5"/>
  <c r="BA547" i="5"/>
  <c r="BB547" i="5"/>
  <c r="BB538" i="5"/>
  <c r="BA538" i="5"/>
  <c r="BA521" i="5"/>
  <c r="BB521" i="5"/>
  <c r="BB530" i="5"/>
  <c r="BA530" i="5"/>
  <c r="BA492" i="5"/>
  <c r="BB492" i="5"/>
  <c r="BB444" i="5"/>
  <c r="BA444" i="5"/>
  <c r="BA512" i="5"/>
  <c r="BB512" i="5"/>
  <c r="BA446" i="5"/>
  <c r="BB446" i="5"/>
  <c r="BB525" i="5"/>
  <c r="BA525" i="5"/>
  <c r="BA422" i="5"/>
  <c r="BB422" i="5"/>
  <c r="BA371" i="5"/>
  <c r="BB371" i="5"/>
  <c r="BB267" i="5"/>
  <c r="BA267" i="5"/>
  <c r="BB380" i="5"/>
  <c r="BA380" i="5"/>
  <c r="BB252" i="5"/>
  <c r="BA252" i="5"/>
  <c r="BB367" i="5"/>
  <c r="BA367" i="5"/>
  <c r="BB192" i="5"/>
  <c r="BA192" i="5"/>
  <c r="BB228" i="5"/>
  <c r="BA228" i="5"/>
  <c r="BA167" i="5"/>
  <c r="BB167" i="5"/>
  <c r="BB93" i="5"/>
  <c r="BA93" i="5"/>
  <c r="BB483" i="5"/>
  <c r="BA483" i="5"/>
  <c r="BA424" i="5"/>
  <c r="BB424" i="5"/>
  <c r="BB553" i="5"/>
  <c r="BA553" i="5"/>
  <c r="BA297" i="5"/>
  <c r="BB297" i="5"/>
  <c r="BA503" i="5"/>
  <c r="BB503" i="5"/>
  <c r="BB469" i="5"/>
  <c r="BA469" i="5"/>
  <c r="BB381" i="5"/>
  <c r="BA381" i="5"/>
  <c r="BA470" i="5"/>
  <c r="BB470" i="5"/>
  <c r="BB391" i="5"/>
  <c r="BA391" i="5"/>
  <c r="BB471" i="5"/>
  <c r="BA471" i="5"/>
  <c r="BB400" i="5"/>
  <c r="BA400" i="5"/>
  <c r="BA336" i="5"/>
  <c r="BB336" i="5"/>
  <c r="BB402" i="5"/>
  <c r="BA402" i="5"/>
  <c r="BA350" i="5"/>
  <c r="BB350" i="5"/>
  <c r="BB414" i="5"/>
  <c r="BA414" i="5"/>
  <c r="BB330" i="5"/>
  <c r="BA330" i="5"/>
  <c r="BA271" i="5"/>
  <c r="BB271" i="5"/>
  <c r="BA187" i="5"/>
  <c r="BB187" i="5"/>
  <c r="BB151" i="5"/>
  <c r="BA151" i="5"/>
  <c r="BA67" i="5"/>
  <c r="BB67" i="5"/>
  <c r="BB559" i="5"/>
  <c r="BA559" i="5"/>
  <c r="BB544" i="5"/>
  <c r="BA544" i="5"/>
  <c r="BB529" i="5"/>
  <c r="BA529" i="5"/>
  <c r="BA545" i="5"/>
  <c r="BB545" i="5"/>
  <c r="BB494" i="5"/>
  <c r="BA494" i="5"/>
  <c r="BB453" i="5"/>
  <c r="BA453" i="5"/>
  <c r="BB516" i="5"/>
  <c r="BA516" i="5"/>
  <c r="BA461" i="5"/>
  <c r="BB461" i="5"/>
  <c r="BB531" i="5"/>
  <c r="BA531" i="5"/>
  <c r="BA452" i="5"/>
  <c r="BB452" i="5"/>
  <c r="BA378" i="5"/>
  <c r="BB378" i="5"/>
  <c r="BB280" i="5"/>
  <c r="BA280" i="5"/>
  <c r="BA386" i="5"/>
  <c r="BB386" i="5"/>
  <c r="BB277" i="5"/>
  <c r="BA277" i="5"/>
  <c r="BB383" i="5"/>
  <c r="BA383" i="5"/>
  <c r="BA257" i="5"/>
  <c r="BB257" i="5"/>
  <c r="BA186" i="5"/>
  <c r="BB186" i="5"/>
  <c r="BB153" i="5"/>
  <c r="BA153" i="5"/>
  <c r="BA96" i="5"/>
  <c r="BB96" i="5"/>
  <c r="BA25" i="5"/>
  <c r="BB25" i="5"/>
  <c r="AY364" i="5"/>
  <c r="AX364" i="5"/>
  <c r="AY511" i="5"/>
  <c r="AX511" i="5"/>
  <c r="AY438" i="5"/>
  <c r="AX438" i="5"/>
  <c r="BC438" i="5"/>
  <c r="AY530" i="5"/>
  <c r="AX530" i="5"/>
  <c r="AY514" i="5"/>
  <c r="AX514" i="5"/>
  <c r="AX558" i="5"/>
  <c r="AY558" i="5"/>
  <c r="AX510" i="5"/>
  <c r="AY510" i="5"/>
  <c r="AY523" i="5"/>
  <c r="AX523" i="5"/>
  <c r="AX303" i="5"/>
  <c r="AY303" i="5"/>
  <c r="AY447" i="5"/>
  <c r="AX447" i="5"/>
  <c r="AY421" i="5"/>
  <c r="AX421" i="5"/>
  <c r="BC454" i="5"/>
  <c r="AX454" i="5"/>
  <c r="AY454" i="5"/>
  <c r="AX403" i="5"/>
  <c r="AY403" i="5"/>
  <c r="AX497" i="5"/>
  <c r="AY497" i="5"/>
  <c r="BC497" i="5"/>
  <c r="AY547" i="5"/>
  <c r="AX547" i="5"/>
  <c r="AX417" i="5"/>
  <c r="AY417" i="5"/>
  <c r="AY512" i="5"/>
  <c r="AX512" i="5"/>
  <c r="AX264" i="5"/>
  <c r="AY264" i="5"/>
  <c r="AX344" i="5"/>
  <c r="AY344" i="5"/>
  <c r="AX267" i="5"/>
  <c r="AY267" i="5"/>
  <c r="AX232" i="5"/>
  <c r="AY232" i="5"/>
  <c r="AX142" i="5"/>
  <c r="AY142" i="5"/>
  <c r="AX86" i="5"/>
  <c r="AY86" i="5"/>
  <c r="AX94" i="5"/>
  <c r="AY94" i="5"/>
  <c r="AX27" i="5"/>
  <c r="AY27" i="5"/>
  <c r="AX389" i="5"/>
  <c r="AY389" i="5"/>
  <c r="AY260" i="5"/>
  <c r="AX260" i="5"/>
  <c r="AX284" i="5"/>
  <c r="AY284" i="5"/>
  <c r="AX175" i="5"/>
  <c r="AY175" i="5"/>
  <c r="AY151" i="5"/>
  <c r="AX151" i="5"/>
  <c r="AY103" i="5"/>
  <c r="AX103" i="5"/>
  <c r="AY66" i="5"/>
  <c r="AX66" i="5"/>
  <c r="AY384" i="5"/>
  <c r="AX384" i="5"/>
  <c r="BC384" i="5"/>
  <c r="AY316" i="5"/>
  <c r="AX316" i="5"/>
  <c r="AY230" i="5"/>
  <c r="AX230" i="5"/>
  <c r="AX172" i="5"/>
  <c r="AY172" i="5"/>
  <c r="AY173" i="5"/>
  <c r="AX173" i="5"/>
  <c r="AX64" i="5"/>
  <c r="AY64" i="5"/>
  <c r="AY97" i="5"/>
  <c r="AX97" i="5"/>
  <c r="AX60" i="5"/>
  <c r="AY60" i="5"/>
  <c r="AY61" i="5"/>
  <c r="AX61" i="5"/>
  <c r="AY21" i="5"/>
  <c r="AX21" i="5"/>
  <c r="AY22" i="5"/>
  <c r="AX22" i="5"/>
  <c r="AY427" i="5"/>
  <c r="AX427" i="5"/>
  <c r="AX370" i="5"/>
  <c r="AY370" i="5"/>
  <c r="AY297" i="5"/>
  <c r="AX297" i="5"/>
  <c r="AX280" i="5"/>
  <c r="AY280" i="5"/>
  <c r="AY329" i="5"/>
  <c r="AX329" i="5"/>
  <c r="AX253" i="5"/>
  <c r="AY253" i="5"/>
  <c r="AY216" i="5"/>
  <c r="AX216" i="5"/>
  <c r="AX231" i="5"/>
  <c r="AY231" i="5"/>
  <c r="AY214" i="5"/>
  <c r="AX214" i="5"/>
  <c r="AY188" i="5"/>
  <c r="AX188" i="5"/>
  <c r="AY176" i="5"/>
  <c r="AX176" i="5"/>
  <c r="AX131" i="5"/>
  <c r="AY131" i="5"/>
  <c r="AY141" i="5"/>
  <c r="AX141" i="5"/>
  <c r="AX135" i="5"/>
  <c r="AY135" i="5"/>
  <c r="AY95" i="5"/>
  <c r="AX95" i="5"/>
  <c r="AX70" i="5"/>
  <c r="AY70" i="5"/>
  <c r="AY65" i="5"/>
  <c r="AX65" i="5"/>
  <c r="AX34" i="5"/>
  <c r="AY34" i="5"/>
  <c r="AX33" i="5"/>
  <c r="AY33" i="5"/>
  <c r="BC421" i="5"/>
  <c r="BC264" i="5"/>
  <c r="BE264" i="5" s="1"/>
  <c r="BC21" i="5"/>
  <c r="BE21" i="5" s="1"/>
  <c r="AX407" i="5"/>
  <c r="AY407" i="5"/>
  <c r="AY529" i="5"/>
  <c r="AX529" i="5"/>
  <c r="AY471" i="5"/>
  <c r="AX471" i="5"/>
  <c r="BC471" i="5"/>
  <c r="AY560" i="5"/>
  <c r="AX560" i="5"/>
  <c r="AX414" i="5"/>
  <c r="AY414" i="5"/>
  <c r="AY453" i="5"/>
  <c r="AX453" i="5"/>
  <c r="AX531" i="5"/>
  <c r="AY531" i="5"/>
  <c r="BC531" i="5"/>
  <c r="AX456" i="5"/>
  <c r="AY456" i="5"/>
  <c r="AX495" i="5"/>
  <c r="AY495" i="5"/>
  <c r="AY274" i="5"/>
  <c r="AX274" i="5"/>
  <c r="AY404" i="5"/>
  <c r="AX404" i="5"/>
  <c r="AX481" i="5"/>
  <c r="AY481" i="5"/>
  <c r="AX372" i="5"/>
  <c r="AY372" i="5"/>
  <c r="AY360" i="5"/>
  <c r="AX360" i="5"/>
  <c r="AY548" i="5"/>
  <c r="AX548" i="5"/>
  <c r="BC548" i="5"/>
  <c r="AX550" i="5"/>
  <c r="AY550" i="5"/>
  <c r="AY542" i="5"/>
  <c r="AX542" i="5"/>
  <c r="AX464" i="5"/>
  <c r="AY464" i="5"/>
  <c r="AX411" i="5"/>
  <c r="AY411" i="5"/>
  <c r="AY502" i="5"/>
  <c r="AX502" i="5"/>
  <c r="AX449" i="5"/>
  <c r="AY449" i="5"/>
  <c r="BC449" i="5"/>
  <c r="AY506" i="5"/>
  <c r="AX506" i="5"/>
  <c r="AY446" i="5"/>
  <c r="AX446" i="5"/>
  <c r="AX396" i="5"/>
  <c r="AY396" i="5"/>
  <c r="AX420" i="5"/>
  <c r="AY420" i="5"/>
  <c r="AX342" i="5"/>
  <c r="AY342" i="5"/>
  <c r="AY557" i="5"/>
  <c r="AX557" i="5"/>
  <c r="AY554" i="5"/>
  <c r="AX554" i="5"/>
  <c r="AX549" i="5"/>
  <c r="AY549" i="5"/>
  <c r="AY540" i="5"/>
  <c r="AX540" i="5"/>
  <c r="AY460" i="5"/>
  <c r="AX460" i="5"/>
  <c r="BC460" i="5"/>
  <c r="AX402" i="5"/>
  <c r="AY402" i="5"/>
  <c r="AX499" i="5"/>
  <c r="AY499" i="5"/>
  <c r="AX443" i="5"/>
  <c r="AY443" i="5"/>
  <c r="AX505" i="5"/>
  <c r="AY505" i="5"/>
  <c r="AX444" i="5"/>
  <c r="AY444" i="5"/>
  <c r="AX391" i="5"/>
  <c r="AY391" i="5"/>
  <c r="AX415" i="5"/>
  <c r="AY415" i="5"/>
  <c r="AX336" i="5"/>
  <c r="AY336" i="5"/>
  <c r="AY555" i="5"/>
  <c r="AX555" i="5"/>
  <c r="AY551" i="5"/>
  <c r="AX551" i="5"/>
  <c r="AX532" i="5"/>
  <c r="AY532" i="5"/>
  <c r="AY538" i="5"/>
  <c r="AX538" i="5"/>
  <c r="AY458" i="5"/>
  <c r="AX458" i="5"/>
  <c r="AX393" i="5"/>
  <c r="AY393" i="5"/>
  <c r="AX494" i="5"/>
  <c r="AY494" i="5"/>
  <c r="AX441" i="5"/>
  <c r="AY441" i="5"/>
  <c r="AX500" i="5"/>
  <c r="AY500" i="5"/>
  <c r="AX440" i="5"/>
  <c r="AY440" i="5"/>
  <c r="AX387" i="5"/>
  <c r="AY387" i="5"/>
  <c r="AX406" i="5"/>
  <c r="AY406" i="5"/>
  <c r="AY318" i="5"/>
  <c r="AX318" i="5"/>
  <c r="AX379" i="5"/>
  <c r="AY379" i="5"/>
  <c r="AY307" i="5"/>
  <c r="AX307" i="5"/>
  <c r="AX308" i="5"/>
  <c r="AY308" i="5"/>
  <c r="AX250" i="5"/>
  <c r="AY250" i="5"/>
  <c r="AY293" i="5"/>
  <c r="AX293" i="5"/>
  <c r="AX177" i="5"/>
  <c r="AY177" i="5"/>
  <c r="AX269" i="5"/>
  <c r="AY269" i="5"/>
  <c r="AX223" i="5"/>
  <c r="AY223" i="5"/>
  <c r="AX239" i="5"/>
  <c r="AY239" i="5"/>
  <c r="BC239" i="5"/>
  <c r="AX222" i="5"/>
  <c r="AY222" i="5"/>
  <c r="AX200" i="5"/>
  <c r="AY200" i="5"/>
  <c r="AY186" i="5"/>
  <c r="AX186" i="5"/>
  <c r="AY144" i="5"/>
  <c r="AX144" i="5"/>
  <c r="AX153" i="5"/>
  <c r="AY153" i="5"/>
  <c r="AX149" i="5"/>
  <c r="AY149" i="5"/>
  <c r="AX100" i="5"/>
  <c r="AY100" i="5"/>
  <c r="AX78" i="5"/>
  <c r="AY78" i="5"/>
  <c r="AX79" i="5"/>
  <c r="AY79" i="5"/>
  <c r="BC79" i="5"/>
  <c r="AX55" i="5"/>
  <c r="AY55" i="5"/>
  <c r="AX44" i="5"/>
  <c r="AY44" i="5"/>
  <c r="AY434" i="5"/>
  <c r="AX434" i="5"/>
  <c r="AY377" i="5"/>
  <c r="AX377" i="5"/>
  <c r="AX296" i="5"/>
  <c r="AY296" i="5"/>
  <c r="AY304" i="5"/>
  <c r="AX304" i="5"/>
  <c r="AX245" i="5"/>
  <c r="AY245" i="5"/>
  <c r="AY287" i="5"/>
  <c r="AX287" i="5"/>
  <c r="AY331" i="5"/>
  <c r="AX331" i="5"/>
  <c r="BC331" i="5"/>
  <c r="AX262" i="5"/>
  <c r="AY262" i="5"/>
  <c r="AY220" i="5"/>
  <c r="AX220" i="5"/>
  <c r="AY237" i="5"/>
  <c r="AX237" i="5"/>
  <c r="AY219" i="5"/>
  <c r="AX219" i="5"/>
  <c r="AY196" i="5"/>
  <c r="AX196" i="5"/>
  <c r="AY185" i="5"/>
  <c r="AX185" i="5"/>
  <c r="AY140" i="5"/>
  <c r="AX140" i="5"/>
  <c r="AX145" i="5"/>
  <c r="AY145" i="5"/>
  <c r="AX146" i="5"/>
  <c r="AY146" i="5"/>
  <c r="AX98" i="5"/>
  <c r="AY98" i="5"/>
  <c r="AY82" i="5"/>
  <c r="AX82" i="5"/>
  <c r="AY75" i="5"/>
  <c r="AX75" i="5"/>
  <c r="AY53" i="5"/>
  <c r="AX53" i="5"/>
  <c r="AY41" i="5"/>
  <c r="AX41" i="5"/>
  <c r="AY8" i="5"/>
  <c r="AX8" i="5"/>
  <c r="AX371" i="5"/>
  <c r="AY371" i="5"/>
  <c r="AX281" i="5"/>
  <c r="AY281" i="5"/>
  <c r="AY299" i="5"/>
  <c r="AX299" i="5"/>
  <c r="AX221" i="5"/>
  <c r="AY221" i="5"/>
  <c r="AY283" i="5"/>
  <c r="AX283" i="5"/>
  <c r="AX330" i="5"/>
  <c r="AY330" i="5"/>
  <c r="AX256" i="5"/>
  <c r="AY256" i="5"/>
  <c r="AY218" i="5"/>
  <c r="AX218" i="5"/>
  <c r="AY234" i="5"/>
  <c r="AX234" i="5"/>
  <c r="AX217" i="5"/>
  <c r="AY217" i="5"/>
  <c r="AX191" i="5"/>
  <c r="AY191" i="5"/>
  <c r="AY180" i="5"/>
  <c r="AX180" i="5"/>
  <c r="AX133" i="5"/>
  <c r="AY133" i="5"/>
  <c r="AX143" i="5"/>
  <c r="AY143" i="5"/>
  <c r="AX138" i="5"/>
  <c r="AY138" i="5"/>
  <c r="AX96" i="5"/>
  <c r="AY96" i="5"/>
  <c r="AX72" i="5"/>
  <c r="AY72" i="5"/>
  <c r="AX71" i="5"/>
  <c r="AY71" i="5"/>
  <c r="AX51" i="5"/>
  <c r="AY51" i="5"/>
  <c r="AX38" i="5"/>
  <c r="AY38" i="5"/>
  <c r="AT13" i="5"/>
  <c r="AZ13" i="5"/>
  <c r="AW13" i="5"/>
  <c r="T13" i="5"/>
  <c r="AY413" i="5"/>
  <c r="AX413" i="5"/>
  <c r="AY357" i="5"/>
  <c r="AX357" i="5"/>
  <c r="AX347" i="5"/>
  <c r="AY347" i="5"/>
  <c r="AY282" i="5"/>
  <c r="AX282" i="5"/>
  <c r="AX322" i="5"/>
  <c r="AY322" i="5"/>
  <c r="AX263" i="5"/>
  <c r="AY263" i="5"/>
  <c r="AY310" i="5"/>
  <c r="AX310" i="5"/>
  <c r="AX233" i="5"/>
  <c r="AY233" i="5"/>
  <c r="AX198" i="5"/>
  <c r="AY198" i="5"/>
  <c r="AY197" i="5"/>
  <c r="AX197" i="5"/>
  <c r="AY195" i="5"/>
  <c r="AX195" i="5"/>
  <c r="AY170" i="5"/>
  <c r="AX170" i="5"/>
  <c r="AY164" i="5"/>
  <c r="AX164" i="5"/>
  <c r="AX114" i="5"/>
  <c r="AY114" i="5"/>
  <c r="AY130" i="5"/>
  <c r="AX130" i="5"/>
  <c r="AX120" i="5"/>
  <c r="AY120" i="5"/>
  <c r="AX84" i="5"/>
  <c r="AY84" i="5"/>
  <c r="AX83" i="5"/>
  <c r="AY83" i="5"/>
  <c r="AX54" i="5"/>
  <c r="AY54" i="5"/>
  <c r="AX45" i="5"/>
  <c r="AY45" i="5"/>
  <c r="AX48" i="5"/>
  <c r="AY48" i="5"/>
  <c r="BC282" i="5"/>
  <c r="AY513" i="5"/>
  <c r="AX513" i="5"/>
  <c r="AY474" i="5"/>
  <c r="AX474" i="5"/>
  <c r="AY536" i="5"/>
  <c r="AX536" i="5"/>
  <c r="AX266" i="5"/>
  <c r="AY266" i="5"/>
  <c r="AX462" i="5"/>
  <c r="AY462" i="5"/>
  <c r="AY422" i="5"/>
  <c r="AX422" i="5"/>
  <c r="AY467" i="5"/>
  <c r="AX467" i="5"/>
  <c r="AY507" i="5"/>
  <c r="AX507" i="5"/>
  <c r="AY552" i="5"/>
  <c r="AX552" i="5"/>
  <c r="AY519" i="5"/>
  <c r="AX519" i="5"/>
  <c r="AY300" i="5"/>
  <c r="AX300" i="5"/>
  <c r="AY556" i="5"/>
  <c r="AX556" i="5"/>
  <c r="AX508" i="5"/>
  <c r="AY508" i="5"/>
  <c r="BC508" i="5"/>
  <c r="AX401" i="5"/>
  <c r="AY401" i="5"/>
  <c r="AX390" i="5"/>
  <c r="AY390" i="5"/>
  <c r="AY309" i="5"/>
  <c r="AX309" i="5"/>
  <c r="AX181" i="5"/>
  <c r="AY181" i="5"/>
  <c r="AX179" i="5"/>
  <c r="AY179" i="5"/>
  <c r="AX106" i="5"/>
  <c r="AY106" i="5"/>
  <c r="AY28" i="5"/>
  <c r="AX28" i="5"/>
  <c r="AX319" i="5"/>
  <c r="AY319" i="5"/>
  <c r="AY248" i="5"/>
  <c r="AX248" i="5"/>
  <c r="AX235" i="5"/>
  <c r="AY235" i="5"/>
  <c r="AY80" i="5"/>
  <c r="AX80" i="5"/>
  <c r="AY93" i="5"/>
  <c r="AX93" i="5"/>
  <c r="AY23" i="5"/>
  <c r="AX23" i="5"/>
  <c r="AX258" i="5"/>
  <c r="AY258" i="5"/>
  <c r="AY227" i="5"/>
  <c r="AX227" i="5"/>
  <c r="AY207" i="5"/>
  <c r="AX207" i="5"/>
  <c r="AY246" i="5"/>
  <c r="AX246" i="5"/>
  <c r="BC103" i="5"/>
  <c r="BD103" i="5" s="1"/>
  <c r="AY261" i="5"/>
  <c r="AX261" i="5"/>
  <c r="AX491" i="5"/>
  <c r="AY491" i="5"/>
  <c r="AY424" i="5"/>
  <c r="AX424" i="5"/>
  <c r="AY559" i="5"/>
  <c r="AX559" i="5"/>
  <c r="AY503" i="5"/>
  <c r="AX503" i="5"/>
  <c r="AX397" i="5"/>
  <c r="AY397" i="5"/>
  <c r="AX546" i="5"/>
  <c r="AY546" i="5"/>
  <c r="AX375" i="5"/>
  <c r="AY375" i="5"/>
  <c r="AX430" i="5"/>
  <c r="AY430" i="5"/>
  <c r="BC430" i="5"/>
  <c r="AX19" i="5"/>
  <c r="AY19" i="5"/>
  <c r="AX526" i="5"/>
  <c r="AY526" i="5"/>
  <c r="AX373" i="5"/>
  <c r="AY373" i="5"/>
  <c r="AY388" i="5"/>
  <c r="AX388" i="5"/>
  <c r="AY525" i="5"/>
  <c r="AX525" i="5"/>
  <c r="AX541" i="5"/>
  <c r="AY541" i="5"/>
  <c r="AY459" i="5"/>
  <c r="AX459" i="5"/>
  <c r="AY534" i="5"/>
  <c r="AX534" i="5"/>
  <c r="AY448" i="5"/>
  <c r="AX448" i="5"/>
  <c r="AY351" i="5"/>
  <c r="AX351" i="5"/>
  <c r="AY489" i="5"/>
  <c r="AX489" i="5"/>
  <c r="AY436" i="5"/>
  <c r="AX436" i="5"/>
  <c r="AY492" i="5"/>
  <c r="AX492" i="5"/>
  <c r="BC492" i="5"/>
  <c r="AY429" i="5"/>
  <c r="AX429" i="5"/>
  <c r="BC429" i="5"/>
  <c r="AY382" i="5"/>
  <c r="AX382" i="5"/>
  <c r="BC382" i="5"/>
  <c r="AX398" i="5"/>
  <c r="AY398" i="5"/>
  <c r="AX439" i="5"/>
  <c r="AY439" i="5"/>
  <c r="AX515" i="5"/>
  <c r="AY515" i="5"/>
  <c r="AY539" i="5"/>
  <c r="AX539" i="5"/>
  <c r="AX452" i="5"/>
  <c r="AY452" i="5"/>
  <c r="AX533" i="5"/>
  <c r="AY533" i="5"/>
  <c r="AX445" i="5"/>
  <c r="AY445" i="5"/>
  <c r="AX339" i="5"/>
  <c r="AY339" i="5"/>
  <c r="AX488" i="5"/>
  <c r="AY488" i="5"/>
  <c r="AX431" i="5"/>
  <c r="AY431" i="5"/>
  <c r="AX484" i="5"/>
  <c r="AY484" i="5"/>
  <c r="AY428" i="5"/>
  <c r="AX428" i="5"/>
  <c r="AY381" i="5"/>
  <c r="AX381" i="5"/>
  <c r="BC381" i="5"/>
  <c r="AX395" i="5"/>
  <c r="AY395" i="5"/>
  <c r="AX432" i="5"/>
  <c r="AY432" i="5"/>
  <c r="AX504" i="5"/>
  <c r="AY504" i="5"/>
  <c r="AX535" i="5"/>
  <c r="AY535" i="5"/>
  <c r="AX423" i="5"/>
  <c r="AY423" i="5"/>
  <c r="AX527" i="5"/>
  <c r="AY527" i="5"/>
  <c r="AX442" i="5"/>
  <c r="AY442" i="5"/>
  <c r="AX335" i="5"/>
  <c r="AY335" i="5"/>
  <c r="BC335" i="5"/>
  <c r="AX487" i="5"/>
  <c r="AY487" i="5"/>
  <c r="AY418" i="5"/>
  <c r="AX418" i="5"/>
  <c r="AX482" i="5"/>
  <c r="AY482" i="5"/>
  <c r="AX385" i="5"/>
  <c r="AY385" i="5"/>
  <c r="AX376" i="5"/>
  <c r="AY376" i="5"/>
  <c r="AX394" i="5"/>
  <c r="AY394" i="5"/>
  <c r="AX426" i="5"/>
  <c r="AY426" i="5"/>
  <c r="AX365" i="5"/>
  <c r="AY365" i="5"/>
  <c r="AX212" i="5"/>
  <c r="AY212" i="5"/>
  <c r="AY292" i="5"/>
  <c r="AX292" i="5"/>
  <c r="AY190" i="5"/>
  <c r="AX190" i="5"/>
  <c r="AX275" i="5"/>
  <c r="AY275" i="5"/>
  <c r="AX326" i="5"/>
  <c r="AY326" i="5"/>
  <c r="AY247" i="5"/>
  <c r="AX247" i="5"/>
  <c r="AY209" i="5"/>
  <c r="AX209" i="5"/>
  <c r="AY215" i="5"/>
  <c r="AX215" i="5"/>
  <c r="AY210" i="5"/>
  <c r="AX210" i="5"/>
  <c r="AX184" i="5"/>
  <c r="AY184" i="5"/>
  <c r="AX174" i="5"/>
  <c r="AY174" i="5"/>
  <c r="AY129" i="5"/>
  <c r="AX129" i="5"/>
  <c r="AY136" i="5"/>
  <c r="AX136" i="5"/>
  <c r="AX128" i="5"/>
  <c r="AY128" i="5"/>
  <c r="BC128" i="5"/>
  <c r="AX92" i="5"/>
  <c r="AY92" i="5"/>
  <c r="AX67" i="5"/>
  <c r="AY67" i="5"/>
  <c r="AY62" i="5"/>
  <c r="AX62" i="5"/>
  <c r="AX69" i="5"/>
  <c r="AY69" i="5"/>
  <c r="AX30" i="5"/>
  <c r="AY30" i="5"/>
  <c r="AY419" i="5"/>
  <c r="AX419" i="5"/>
  <c r="AY363" i="5"/>
  <c r="AX363" i="5"/>
  <c r="AY355" i="5"/>
  <c r="AX355" i="5"/>
  <c r="BC355" i="5"/>
  <c r="AX289" i="5"/>
  <c r="AY289" i="5"/>
  <c r="AY332" i="5"/>
  <c r="AX332" i="5"/>
  <c r="AX268" i="5"/>
  <c r="AY268" i="5"/>
  <c r="AX321" i="5"/>
  <c r="AY321" i="5"/>
  <c r="AY243" i="5"/>
  <c r="AX243" i="5"/>
  <c r="AY206" i="5"/>
  <c r="AX206" i="5"/>
  <c r="AY202" i="5"/>
  <c r="AX202" i="5"/>
  <c r="AY204" i="5"/>
  <c r="AX204" i="5"/>
  <c r="AX182" i="5"/>
  <c r="AY182" i="5"/>
  <c r="AY168" i="5"/>
  <c r="AX168" i="5"/>
  <c r="AY123" i="5"/>
  <c r="AX123" i="5"/>
  <c r="AY134" i="5"/>
  <c r="AX134" i="5"/>
  <c r="AX126" i="5"/>
  <c r="AY126" i="5"/>
  <c r="AY90" i="5"/>
  <c r="AX90" i="5"/>
  <c r="AX91" i="5"/>
  <c r="AY91" i="5"/>
  <c r="AY57" i="5"/>
  <c r="AX57" i="5"/>
  <c r="AY63" i="5"/>
  <c r="AX63" i="5"/>
  <c r="AY29" i="5"/>
  <c r="AX29" i="5"/>
  <c r="AY416" i="5"/>
  <c r="AX416" i="5"/>
  <c r="BC416" i="5"/>
  <c r="AY359" i="5"/>
  <c r="AX359" i="5"/>
  <c r="AX353" i="5"/>
  <c r="AY353" i="5"/>
  <c r="AX286" i="5"/>
  <c r="AY286" i="5"/>
  <c r="AX324" i="5"/>
  <c r="AY324" i="5"/>
  <c r="AX265" i="5"/>
  <c r="AY265" i="5"/>
  <c r="AX317" i="5"/>
  <c r="AY317" i="5"/>
  <c r="AY236" i="5"/>
  <c r="AX236" i="5"/>
  <c r="AX201" i="5"/>
  <c r="AY201" i="5"/>
  <c r="AY199" i="5"/>
  <c r="AX199" i="5"/>
  <c r="AY203" i="5"/>
  <c r="AX203" i="5"/>
  <c r="AY171" i="5"/>
  <c r="AX171" i="5"/>
  <c r="AY166" i="5"/>
  <c r="AX166" i="5"/>
  <c r="AX121" i="5"/>
  <c r="AY121" i="5"/>
  <c r="AY132" i="5"/>
  <c r="AX132" i="5"/>
  <c r="AY125" i="5"/>
  <c r="AX125" i="5"/>
  <c r="AX89" i="5"/>
  <c r="AY89" i="5"/>
  <c r="AX88" i="5"/>
  <c r="AY88" i="5"/>
  <c r="AY56" i="5"/>
  <c r="AX56" i="5"/>
  <c r="AX52" i="5"/>
  <c r="AY52" i="5"/>
  <c r="AY20" i="5"/>
  <c r="AX20" i="5"/>
  <c r="AY341" i="5"/>
  <c r="AX341" i="5"/>
  <c r="AX392" i="5"/>
  <c r="AY392" i="5"/>
  <c r="AY345" i="5"/>
  <c r="AX345" i="5"/>
  <c r="AY328" i="5"/>
  <c r="AX328" i="5"/>
  <c r="AX270" i="5"/>
  <c r="AY270" i="5"/>
  <c r="AY312" i="5"/>
  <c r="AX312" i="5"/>
  <c r="AY251" i="5"/>
  <c r="AX251" i="5"/>
  <c r="AY294" i="5"/>
  <c r="AX294" i="5"/>
  <c r="AX241" i="5"/>
  <c r="AY241" i="5"/>
  <c r="BC187" i="5"/>
  <c r="AX187" i="5"/>
  <c r="AY187" i="5"/>
  <c r="AX240" i="5"/>
  <c r="AY240" i="5"/>
  <c r="AY148" i="5"/>
  <c r="AX148" i="5"/>
  <c r="AX183" i="5"/>
  <c r="AY183" i="5"/>
  <c r="AX155" i="5"/>
  <c r="AY155" i="5"/>
  <c r="AX102" i="5"/>
  <c r="AY102" i="5"/>
  <c r="AX115" i="5"/>
  <c r="AY115" i="5"/>
  <c r="AX111" i="5"/>
  <c r="AY111" i="5"/>
  <c r="AX99" i="5"/>
  <c r="AY99" i="5"/>
  <c r="AX58" i="5"/>
  <c r="AY58" i="5"/>
  <c r="AY36" i="5"/>
  <c r="AX36" i="5"/>
  <c r="AY32" i="5"/>
  <c r="AX32" i="5"/>
  <c r="AX26" i="5"/>
  <c r="AY26" i="5"/>
  <c r="AX323" i="5"/>
  <c r="AY323" i="5"/>
  <c r="AX472" i="5"/>
  <c r="AY472" i="5"/>
  <c r="AX348" i="5"/>
  <c r="AY348" i="5"/>
  <c r="AX400" i="5"/>
  <c r="AY400" i="5"/>
  <c r="AY352" i="5"/>
  <c r="AX352" i="5"/>
  <c r="AY457" i="5"/>
  <c r="AX457" i="5"/>
  <c r="BC457" i="5"/>
  <c r="AY490" i="5"/>
  <c r="AX490" i="5"/>
  <c r="BC490" i="5"/>
  <c r="AY455" i="5"/>
  <c r="AX455" i="5"/>
  <c r="BC455" i="5"/>
  <c r="AY405" i="5"/>
  <c r="AX405" i="5"/>
  <c r="BC405" i="5"/>
  <c r="AY358" i="5"/>
  <c r="AX358" i="5"/>
  <c r="AX369" i="5"/>
  <c r="AY369" i="5"/>
  <c r="AX485" i="5"/>
  <c r="AY485" i="5"/>
  <c r="AX509" i="5"/>
  <c r="AY509" i="5"/>
  <c r="AX465" i="5"/>
  <c r="AY465" i="5"/>
  <c r="AY354" i="5"/>
  <c r="AX354" i="5"/>
  <c r="AX383" i="5"/>
  <c r="AY383" i="5"/>
  <c r="AX483" i="5"/>
  <c r="AY483" i="5"/>
  <c r="AX451" i="5"/>
  <c r="AY451" i="5"/>
  <c r="BC451" i="5"/>
  <c r="AX461" i="5"/>
  <c r="AY461" i="5"/>
  <c r="BC461" i="5"/>
  <c r="AY349" i="5"/>
  <c r="AX349" i="5"/>
  <c r="AX325" i="5"/>
  <c r="AY325" i="5"/>
  <c r="AY249" i="5"/>
  <c r="AX249" i="5"/>
  <c r="AY290" i="5"/>
  <c r="AX290" i="5"/>
  <c r="AY238" i="5"/>
  <c r="AX238" i="5"/>
  <c r="AY154" i="5"/>
  <c r="AX154" i="5"/>
  <c r="AX87" i="5"/>
  <c r="AY87" i="5"/>
  <c r="AX77" i="5"/>
  <c r="AY77" i="5"/>
  <c r="BC77" i="5"/>
  <c r="AY25" i="5"/>
  <c r="AX25" i="5"/>
  <c r="AY337" i="5"/>
  <c r="AX337" i="5"/>
  <c r="AX306" i="5"/>
  <c r="AY306" i="5"/>
  <c r="AY229" i="5"/>
  <c r="AX229" i="5"/>
  <c r="AY124" i="5"/>
  <c r="AX124" i="5"/>
  <c r="AX178" i="5"/>
  <c r="AY178" i="5"/>
  <c r="AY161" i="5"/>
  <c r="AX161" i="5"/>
  <c r="AY76" i="5"/>
  <c r="AX76" i="5"/>
  <c r="AY24" i="5"/>
  <c r="AX24" i="5"/>
  <c r="AY327" i="5"/>
  <c r="AX327" i="5"/>
  <c r="AX301" i="5"/>
  <c r="AY301" i="5"/>
  <c r="AY278" i="5"/>
  <c r="AX278" i="5"/>
  <c r="AY228" i="5"/>
  <c r="AX228" i="5"/>
  <c r="AY150" i="5"/>
  <c r="AX150" i="5"/>
  <c r="AY158" i="5"/>
  <c r="AX158" i="5"/>
  <c r="AY85" i="5"/>
  <c r="AX85" i="5"/>
  <c r="AX213" i="5"/>
  <c r="AY213" i="5"/>
  <c r="BC300" i="5"/>
  <c r="BE300" i="5" s="1"/>
  <c r="BC230" i="5"/>
  <c r="BD230" i="5" s="1"/>
  <c r="AX468" i="5"/>
  <c r="AY468" i="5"/>
  <c r="AY463" i="5"/>
  <c r="AX463" i="5"/>
  <c r="BC463" i="5"/>
  <c r="AX537" i="5"/>
  <c r="AY537" i="5"/>
  <c r="AY470" i="5"/>
  <c r="AX470" i="5"/>
  <c r="AY544" i="5"/>
  <c r="AX544" i="5"/>
  <c r="AY450" i="5"/>
  <c r="AX450" i="5"/>
  <c r="AX259" i="5"/>
  <c r="AY259" i="5"/>
  <c r="BC259" i="5"/>
  <c r="AX524" i="5"/>
  <c r="AY524" i="5"/>
  <c r="AY493" i="5"/>
  <c r="AX493" i="5"/>
  <c r="AX386" i="5"/>
  <c r="AY386" i="5"/>
  <c r="AY498" i="5"/>
  <c r="AX498" i="5"/>
  <c r="AY437" i="5"/>
  <c r="AX437" i="5"/>
  <c r="AX480" i="5"/>
  <c r="AY480" i="5"/>
  <c r="AY553" i="5"/>
  <c r="AX553" i="5"/>
  <c r="AX486" i="5"/>
  <c r="AY486" i="5"/>
  <c r="AY528" i="5"/>
  <c r="AX528" i="5"/>
  <c r="AY291" i="5"/>
  <c r="AX291" i="5"/>
  <c r="AX517" i="5"/>
  <c r="AY517" i="5"/>
  <c r="AX435" i="5"/>
  <c r="AY435" i="5"/>
  <c r="AX521" i="5"/>
  <c r="AY521" i="5"/>
  <c r="AY473" i="5"/>
  <c r="AX473" i="5"/>
  <c r="AX367" i="5"/>
  <c r="AY367" i="5"/>
  <c r="AX479" i="5"/>
  <c r="AY479" i="5"/>
  <c r="AY338" i="5"/>
  <c r="AX338" i="5"/>
  <c r="AX368" i="5"/>
  <c r="AY368" i="5"/>
  <c r="AX378" i="5"/>
  <c r="AY378" i="5"/>
  <c r="AY545" i="5"/>
  <c r="AX545" i="5"/>
  <c r="AY478" i="5"/>
  <c r="AX478" i="5"/>
  <c r="AX522" i="5"/>
  <c r="AY522" i="5"/>
  <c r="AX285" i="5"/>
  <c r="AY285" i="5"/>
  <c r="AY501" i="5"/>
  <c r="AX501" i="5"/>
  <c r="AY433" i="5"/>
  <c r="AX433" i="5"/>
  <c r="AY520" i="5"/>
  <c r="AX520" i="5"/>
  <c r="AY469" i="5"/>
  <c r="AX469" i="5"/>
  <c r="AX361" i="5"/>
  <c r="AY361" i="5"/>
  <c r="BC361" i="5"/>
  <c r="AY477" i="5"/>
  <c r="AX477" i="5"/>
  <c r="AY410" i="5"/>
  <c r="AX410" i="5"/>
  <c r="AY362" i="5"/>
  <c r="AX362" i="5"/>
  <c r="AX374" i="5"/>
  <c r="AY374" i="5"/>
  <c r="AY543" i="5"/>
  <c r="AX543" i="5"/>
  <c r="AY475" i="5"/>
  <c r="AX475" i="5"/>
  <c r="AX516" i="5"/>
  <c r="AY516" i="5"/>
  <c r="AY279" i="5"/>
  <c r="AX279" i="5"/>
  <c r="AY496" i="5"/>
  <c r="AX496" i="5"/>
  <c r="AX425" i="5"/>
  <c r="AY425" i="5"/>
  <c r="AY518" i="5"/>
  <c r="AX518" i="5"/>
  <c r="AX466" i="5"/>
  <c r="AY466" i="5"/>
  <c r="AY288" i="5"/>
  <c r="AX288" i="5"/>
  <c r="AX476" i="5"/>
  <c r="AY476" i="5"/>
  <c r="AX409" i="5"/>
  <c r="AY409" i="5"/>
  <c r="AY343" i="5"/>
  <c r="AX343" i="5"/>
  <c r="BC343" i="5"/>
  <c r="AX366" i="5"/>
  <c r="AY366" i="5"/>
  <c r="AX412" i="5"/>
  <c r="AY412" i="5"/>
  <c r="AX356" i="5"/>
  <c r="AY356" i="5"/>
  <c r="AX340" i="5"/>
  <c r="AY340" i="5"/>
  <c r="AX277" i="5"/>
  <c r="AY277" i="5"/>
  <c r="AY320" i="5"/>
  <c r="AX320" i="5"/>
  <c r="AY257" i="5"/>
  <c r="AX257" i="5"/>
  <c r="AY305" i="5"/>
  <c r="AX305" i="5"/>
  <c r="AX211" i="5"/>
  <c r="AY211" i="5"/>
  <c r="AX193" i="5"/>
  <c r="AY193" i="5"/>
  <c r="AX167" i="5"/>
  <c r="AY167" i="5"/>
  <c r="AX194" i="5"/>
  <c r="AY194" i="5"/>
  <c r="AX165" i="5"/>
  <c r="AY165" i="5"/>
  <c r="AX159" i="5"/>
  <c r="AY159" i="5"/>
  <c r="AX110" i="5"/>
  <c r="AY110" i="5"/>
  <c r="AX127" i="5"/>
  <c r="AY127" i="5"/>
  <c r="AX118" i="5"/>
  <c r="AY118" i="5"/>
  <c r="AX109" i="5"/>
  <c r="AY109" i="5"/>
  <c r="AX74" i="5"/>
  <c r="AY74" i="5"/>
  <c r="AX50" i="5"/>
  <c r="AY50" i="5"/>
  <c r="AX42" i="5"/>
  <c r="AY42" i="5"/>
  <c r="AX43" i="5"/>
  <c r="AY43" i="5"/>
  <c r="AX408" i="5"/>
  <c r="AY408" i="5"/>
  <c r="AX350" i="5"/>
  <c r="AY350" i="5"/>
  <c r="AY334" i="5"/>
  <c r="AX334" i="5"/>
  <c r="AY276" i="5"/>
  <c r="AX276" i="5"/>
  <c r="AX315" i="5"/>
  <c r="AY315" i="5"/>
  <c r="AY255" i="5"/>
  <c r="AX255" i="5"/>
  <c r="AX302" i="5"/>
  <c r="AY302" i="5"/>
  <c r="AX208" i="5"/>
  <c r="AY208" i="5"/>
  <c r="AX192" i="5"/>
  <c r="AY192" i="5"/>
  <c r="AX244" i="5"/>
  <c r="AY244" i="5"/>
  <c r="AX162" i="5"/>
  <c r="AY162" i="5"/>
  <c r="AY137" i="5"/>
  <c r="AX137" i="5"/>
  <c r="AX139" i="5"/>
  <c r="AY139" i="5"/>
  <c r="AX108" i="5"/>
  <c r="AY108" i="5"/>
  <c r="AY122" i="5"/>
  <c r="AX122" i="5"/>
  <c r="AY117" i="5"/>
  <c r="AX117" i="5"/>
  <c r="AY104" i="5"/>
  <c r="AX104" i="5"/>
  <c r="BC104" i="5"/>
  <c r="AY73" i="5"/>
  <c r="AX73" i="5"/>
  <c r="AY49" i="5"/>
  <c r="AX49" i="5"/>
  <c r="AY39" i="5"/>
  <c r="AX39" i="5"/>
  <c r="AX37" i="5"/>
  <c r="AY37" i="5"/>
  <c r="AX399" i="5"/>
  <c r="AY399" i="5"/>
  <c r="AX346" i="5"/>
  <c r="AY346" i="5"/>
  <c r="AX333" i="5"/>
  <c r="AY333" i="5"/>
  <c r="AY273" i="5"/>
  <c r="AX273" i="5"/>
  <c r="AY314" i="5"/>
  <c r="AX314" i="5"/>
  <c r="AX254" i="5"/>
  <c r="AY254" i="5"/>
  <c r="AY298" i="5"/>
  <c r="AX298" i="5"/>
  <c r="AY163" i="5"/>
  <c r="AX163" i="5"/>
  <c r="AX189" i="5"/>
  <c r="AY189" i="5"/>
  <c r="AX242" i="5"/>
  <c r="AY242" i="5"/>
  <c r="AY160" i="5"/>
  <c r="AX160" i="5"/>
  <c r="AY119" i="5"/>
  <c r="AX119" i="5"/>
  <c r="AX113" i="5"/>
  <c r="AY113" i="5"/>
  <c r="AY105" i="5"/>
  <c r="AX105" i="5"/>
  <c r="AX116" i="5"/>
  <c r="AY116" i="5"/>
  <c r="AX112" i="5"/>
  <c r="AY112" i="5"/>
  <c r="AY101" i="5"/>
  <c r="AX101" i="5"/>
  <c r="AY68" i="5"/>
  <c r="AX68" i="5"/>
  <c r="AX47" i="5"/>
  <c r="AY47" i="5"/>
  <c r="AX35" i="5"/>
  <c r="AY35" i="5"/>
  <c r="AX31" i="5"/>
  <c r="AY31" i="5"/>
  <c r="AX271" i="5"/>
  <c r="AY271" i="5"/>
  <c r="AX380" i="5"/>
  <c r="AY380" i="5"/>
  <c r="AX313" i="5"/>
  <c r="AY313" i="5"/>
  <c r="AY311" i="5"/>
  <c r="AX311" i="5"/>
  <c r="AY252" i="5"/>
  <c r="AX252" i="5"/>
  <c r="AY295" i="5"/>
  <c r="AX295" i="5"/>
  <c r="AX225" i="5"/>
  <c r="AY225" i="5"/>
  <c r="AX272" i="5"/>
  <c r="AY272" i="5"/>
  <c r="AY224" i="5"/>
  <c r="AX224" i="5"/>
  <c r="AX169" i="5"/>
  <c r="AY169" i="5"/>
  <c r="AX226" i="5"/>
  <c r="AY226" i="5"/>
  <c r="AY205" i="5"/>
  <c r="AX205" i="5"/>
  <c r="AX156" i="5"/>
  <c r="AY156" i="5"/>
  <c r="AY147" i="5"/>
  <c r="AX147" i="5"/>
  <c r="AY157" i="5"/>
  <c r="AX157" i="5"/>
  <c r="AX152" i="5"/>
  <c r="AY152" i="5"/>
  <c r="AY107" i="5"/>
  <c r="AX107" i="5"/>
  <c r="AY81" i="5"/>
  <c r="AX81" i="5"/>
  <c r="AY40" i="5"/>
  <c r="AX40" i="5"/>
  <c r="AY59" i="5"/>
  <c r="AX59" i="5"/>
  <c r="AY46" i="5"/>
  <c r="AX46" i="5"/>
  <c r="BC312" i="5"/>
  <c r="BC107" i="5"/>
  <c r="BC303" i="5"/>
  <c r="BC123" i="5"/>
  <c r="BC322" i="5"/>
  <c r="AL165" i="5"/>
  <c r="AL153" i="5"/>
  <c r="AK156" i="5"/>
  <c r="AK49" i="5"/>
  <c r="AK28" i="5"/>
  <c r="AK13" i="5"/>
  <c r="AL13" i="5"/>
  <c r="BD222" i="5"/>
  <c r="BA12" i="5"/>
  <c r="BB12" i="5"/>
  <c r="AL516" i="5"/>
  <c r="AK516" i="5"/>
  <c r="AL290" i="5"/>
  <c r="AK290" i="5"/>
  <c r="AL243" i="5"/>
  <c r="AK243" i="5"/>
  <c r="AL374" i="5"/>
  <c r="AK374" i="5"/>
  <c r="AK151" i="5"/>
  <c r="AL151" i="5"/>
  <c r="AL152" i="5"/>
  <c r="AK152" i="5"/>
  <c r="AK65" i="5"/>
  <c r="AL65" i="5"/>
  <c r="AK489" i="5"/>
  <c r="AL489" i="5"/>
  <c r="AK515" i="5"/>
  <c r="AL515" i="5"/>
  <c r="AL377" i="5"/>
  <c r="AK377" i="5"/>
  <c r="AL134" i="5"/>
  <c r="AK134" i="5"/>
  <c r="AL342" i="5"/>
  <c r="AK342" i="5"/>
  <c r="AK463" i="5"/>
  <c r="AL463" i="5"/>
  <c r="AL323" i="5"/>
  <c r="AK323" i="5"/>
  <c r="AK281" i="5"/>
  <c r="AL281" i="5"/>
  <c r="AK163" i="5"/>
  <c r="AL163" i="5"/>
  <c r="AL175" i="5"/>
  <c r="AK175" i="5"/>
  <c r="AL474" i="5"/>
  <c r="AK474" i="5"/>
  <c r="AL466" i="5"/>
  <c r="AK466" i="5"/>
  <c r="AK400" i="5"/>
  <c r="AL400" i="5"/>
  <c r="AK453" i="5"/>
  <c r="AL453" i="5"/>
  <c r="AL546" i="5"/>
  <c r="AK546" i="5"/>
  <c r="AL413" i="5"/>
  <c r="AK413" i="5"/>
  <c r="AK491" i="5"/>
  <c r="AL491" i="5"/>
  <c r="AK258" i="5"/>
  <c r="AL258" i="5"/>
  <c r="AL300" i="5"/>
  <c r="AK300" i="5"/>
  <c r="AK196" i="5"/>
  <c r="AL196" i="5"/>
  <c r="AK359" i="5"/>
  <c r="AL359" i="5"/>
  <c r="AK206" i="5"/>
  <c r="AL206" i="5"/>
  <c r="AK207" i="5"/>
  <c r="AL207" i="5"/>
  <c r="AL467" i="5"/>
  <c r="AK467" i="5"/>
  <c r="AK385" i="5"/>
  <c r="AL385" i="5"/>
  <c r="AK462" i="5"/>
  <c r="AL462" i="5"/>
  <c r="AL244" i="5"/>
  <c r="AK244" i="5"/>
  <c r="AL160" i="5"/>
  <c r="AK160" i="5"/>
  <c r="AL495" i="5"/>
  <c r="AK495" i="5"/>
  <c r="AK501" i="5"/>
  <c r="AL501" i="5"/>
  <c r="AK267" i="5"/>
  <c r="AL267" i="5"/>
  <c r="AL217" i="5"/>
  <c r="AK217" i="5"/>
  <c r="AK63" i="5"/>
  <c r="AL63" i="5"/>
  <c r="AK465" i="5"/>
  <c r="AL465" i="5"/>
  <c r="AK531" i="5"/>
  <c r="AL531" i="5"/>
  <c r="AL337" i="5"/>
  <c r="AK337" i="5"/>
  <c r="AK21" i="5"/>
  <c r="AL21" i="5"/>
  <c r="AL114" i="5"/>
  <c r="AK114" i="5"/>
  <c r="AL420" i="5"/>
  <c r="AK420" i="5"/>
  <c r="AK481" i="5"/>
  <c r="AL481" i="5"/>
  <c r="AK279" i="5"/>
  <c r="AL279" i="5"/>
  <c r="AK37" i="5"/>
  <c r="AL37" i="5"/>
  <c r="AL430" i="5"/>
  <c r="AK430" i="5"/>
  <c r="AK346" i="5"/>
  <c r="AL346" i="5"/>
  <c r="AK423" i="5"/>
  <c r="AL423" i="5"/>
  <c r="AL177" i="5"/>
  <c r="AK177" i="5"/>
  <c r="AK92" i="5"/>
  <c r="AL92" i="5"/>
  <c r="AL102" i="5"/>
  <c r="AK102" i="5"/>
  <c r="AL140" i="5"/>
  <c r="AK140" i="5"/>
  <c r="AL112" i="5"/>
  <c r="AK112" i="5"/>
  <c r="AL484" i="5"/>
  <c r="AK484" i="5"/>
  <c r="AK556" i="5"/>
  <c r="AL556" i="5"/>
  <c r="AL412" i="5"/>
  <c r="AK412" i="5"/>
  <c r="AK558" i="5"/>
  <c r="AL558" i="5"/>
  <c r="AK370" i="5"/>
  <c r="AL370" i="5"/>
  <c r="AK553" i="5"/>
  <c r="AL553" i="5"/>
  <c r="AL476" i="5"/>
  <c r="AK476" i="5"/>
  <c r="AL552" i="5"/>
  <c r="AK552" i="5"/>
  <c r="AL443" i="5"/>
  <c r="AK443" i="5"/>
  <c r="AK425" i="5"/>
  <c r="AL425" i="5"/>
  <c r="AL245" i="5"/>
  <c r="AK245" i="5"/>
  <c r="AL313" i="5"/>
  <c r="AK313" i="5"/>
  <c r="AK224" i="5"/>
  <c r="AL224" i="5"/>
  <c r="AK25" i="5"/>
  <c r="AL25" i="5"/>
  <c r="AL171" i="5"/>
  <c r="AK171" i="5"/>
  <c r="AK159" i="5"/>
  <c r="AL159" i="5"/>
  <c r="AL120" i="5"/>
  <c r="AK120" i="5"/>
  <c r="AK201" i="5"/>
  <c r="AL201" i="5"/>
  <c r="AL455" i="5"/>
  <c r="AK455" i="5"/>
  <c r="AK452" i="5"/>
  <c r="AL452" i="5"/>
  <c r="AK410" i="5"/>
  <c r="AL410" i="5"/>
  <c r="AK422" i="5"/>
  <c r="AL422" i="5"/>
  <c r="AK503" i="5"/>
  <c r="AL503" i="5"/>
  <c r="AK352" i="5"/>
  <c r="AL352" i="5"/>
  <c r="AL470" i="5"/>
  <c r="AK470" i="5"/>
  <c r="AK257" i="5"/>
  <c r="AL257" i="5"/>
  <c r="AL322" i="5"/>
  <c r="AK322" i="5"/>
  <c r="AK363" i="5"/>
  <c r="AL363" i="5"/>
  <c r="AK142" i="5"/>
  <c r="AL142" i="5"/>
  <c r="AL211" i="5"/>
  <c r="AK211" i="5"/>
  <c r="AK32" i="5"/>
  <c r="AL32" i="5"/>
  <c r="AK110" i="5"/>
  <c r="AL110" i="5"/>
  <c r="AL85" i="5"/>
  <c r="AK85" i="5"/>
  <c r="AK86" i="5"/>
  <c r="AL86" i="5"/>
  <c r="AK554" i="5"/>
  <c r="AL554" i="5"/>
  <c r="AK111" i="5"/>
  <c r="AL111" i="5"/>
  <c r="AL428" i="5"/>
  <c r="AK428" i="5"/>
  <c r="AL436" i="5"/>
  <c r="AK436" i="5"/>
  <c r="AK402" i="5"/>
  <c r="AL402" i="5"/>
  <c r="AK406" i="5"/>
  <c r="AL406" i="5"/>
  <c r="AK490" i="5"/>
  <c r="AL490" i="5"/>
  <c r="AK327" i="5"/>
  <c r="AL327" i="5"/>
  <c r="AL456" i="5"/>
  <c r="AK456" i="5"/>
  <c r="AK135" i="5"/>
  <c r="AL135" i="5"/>
  <c r="AK310" i="5"/>
  <c r="AL310" i="5"/>
  <c r="AK347" i="5"/>
  <c r="AL347" i="5"/>
  <c r="AL39" i="5"/>
  <c r="AK39" i="5"/>
  <c r="AK197" i="5"/>
  <c r="AL197" i="5"/>
  <c r="AK368" i="5"/>
  <c r="AL368" i="5"/>
  <c r="AK538" i="5"/>
  <c r="AL538" i="5"/>
  <c r="AK477" i="5"/>
  <c r="AL477" i="5"/>
  <c r="AK415" i="5"/>
  <c r="AL415" i="5"/>
  <c r="AL266" i="5"/>
  <c r="AK266" i="5"/>
  <c r="AK395" i="5"/>
  <c r="AL395" i="5"/>
  <c r="AK331" i="5"/>
  <c r="AL331" i="5"/>
  <c r="AK213" i="5"/>
  <c r="AL213" i="5"/>
  <c r="AL527" i="5"/>
  <c r="AK527" i="5"/>
  <c r="AL475" i="5"/>
  <c r="AK475" i="5"/>
  <c r="AK367" i="5"/>
  <c r="AL367" i="5"/>
  <c r="AK287" i="5"/>
  <c r="AL287" i="5"/>
  <c r="AL305" i="5"/>
  <c r="AK305" i="5"/>
  <c r="AL250" i="5"/>
  <c r="AK250" i="5"/>
  <c r="AL178" i="5"/>
  <c r="AK178" i="5"/>
  <c r="AK214" i="5"/>
  <c r="AL214" i="5"/>
  <c r="AK99" i="5"/>
  <c r="AL99" i="5"/>
  <c r="AL284" i="5"/>
  <c r="AK284" i="5"/>
  <c r="AL215" i="5"/>
  <c r="AK215" i="5"/>
  <c r="AL170" i="5"/>
  <c r="AK170" i="5"/>
  <c r="AK50" i="5"/>
  <c r="AL50" i="5"/>
  <c r="AL306" i="5"/>
  <c r="AK306" i="5"/>
  <c r="AK23" i="5"/>
  <c r="AL23" i="5"/>
  <c r="AL511" i="5"/>
  <c r="AK511" i="5"/>
  <c r="AK398" i="5"/>
  <c r="AL398" i="5"/>
  <c r="AK343" i="5"/>
  <c r="AL343" i="5"/>
  <c r="AL227" i="5"/>
  <c r="AK227" i="5"/>
  <c r="AL278" i="5"/>
  <c r="AK278" i="5"/>
  <c r="AL234" i="5"/>
  <c r="AK234" i="5"/>
  <c r="AK30" i="5"/>
  <c r="AL30" i="5"/>
  <c r="AK190" i="5"/>
  <c r="AL190" i="5"/>
  <c r="AL326" i="5"/>
  <c r="AK326" i="5"/>
  <c r="AK259" i="5"/>
  <c r="AL259" i="5"/>
  <c r="AK189" i="5"/>
  <c r="AL189" i="5"/>
  <c r="AK133" i="5"/>
  <c r="AL133" i="5"/>
  <c r="AK157" i="5"/>
  <c r="AL157" i="5"/>
  <c r="AK209" i="5"/>
  <c r="AL209" i="5"/>
  <c r="AK514" i="5"/>
  <c r="AL514" i="5"/>
  <c r="AL451" i="5"/>
  <c r="AK451" i="5"/>
  <c r="AL389" i="5"/>
  <c r="AK389" i="5"/>
  <c r="AL433" i="5"/>
  <c r="AK433" i="5"/>
  <c r="AL365" i="5"/>
  <c r="AK365" i="5"/>
  <c r="AL301" i="5"/>
  <c r="AK301" i="5"/>
  <c r="AL559" i="5"/>
  <c r="AK559" i="5"/>
  <c r="AK509" i="5"/>
  <c r="AL509" i="5"/>
  <c r="AK396" i="5"/>
  <c r="AL396" i="5"/>
  <c r="AK339" i="5"/>
  <c r="AL339" i="5"/>
  <c r="AK194" i="5"/>
  <c r="AL194" i="5"/>
  <c r="AL276" i="5"/>
  <c r="AK276" i="5"/>
  <c r="AL231" i="5"/>
  <c r="AK231" i="5"/>
  <c r="AK20" i="5"/>
  <c r="AL20" i="5"/>
  <c r="AK186" i="5"/>
  <c r="AL186" i="5"/>
  <c r="AK319" i="5"/>
  <c r="AL319" i="5"/>
  <c r="AK255" i="5"/>
  <c r="AL255" i="5"/>
  <c r="AK185" i="5"/>
  <c r="AL185" i="5"/>
  <c r="AK129" i="5"/>
  <c r="AL129" i="5"/>
  <c r="AK141" i="5"/>
  <c r="AL141" i="5"/>
  <c r="AL38" i="5"/>
  <c r="AK38" i="5"/>
  <c r="AK358" i="5"/>
  <c r="AL358" i="5"/>
  <c r="AL448" i="5"/>
  <c r="AK448" i="5"/>
  <c r="AL69" i="5"/>
  <c r="AK69" i="5"/>
  <c r="AK103" i="5"/>
  <c r="AL103" i="5"/>
  <c r="AK505" i="5"/>
  <c r="AL505" i="5"/>
  <c r="AL26" i="5"/>
  <c r="AK26" i="5"/>
  <c r="AK122" i="5"/>
  <c r="AL122" i="5"/>
  <c r="AL460" i="5"/>
  <c r="AK460" i="5"/>
  <c r="AL440" i="5"/>
  <c r="AK440" i="5"/>
  <c r="AL472" i="5"/>
  <c r="AK472" i="5"/>
  <c r="AK328" i="5"/>
  <c r="AL328" i="5"/>
  <c r="AK226" i="5"/>
  <c r="AL226" i="5"/>
  <c r="AL81" i="5"/>
  <c r="AK81" i="5"/>
  <c r="AK285" i="5"/>
  <c r="AL285" i="5"/>
  <c r="AL479" i="5"/>
  <c r="AK479" i="5"/>
  <c r="AL502" i="5"/>
  <c r="AK502" i="5"/>
  <c r="AL469" i="5"/>
  <c r="AK469" i="5"/>
  <c r="AK53" i="5"/>
  <c r="AL53" i="5"/>
  <c r="AK488" i="5"/>
  <c r="AL488" i="5"/>
  <c r="AK341" i="5"/>
  <c r="AL341" i="5"/>
  <c r="AK265" i="5"/>
  <c r="AL265" i="5"/>
  <c r="AL493" i="5"/>
  <c r="AK493" i="5"/>
  <c r="AK298" i="5"/>
  <c r="AL298" i="5"/>
  <c r="AL249" i="5"/>
  <c r="AK249" i="5"/>
  <c r="AL379" i="5"/>
  <c r="AK379" i="5"/>
  <c r="AK320" i="5"/>
  <c r="AL320" i="5"/>
  <c r="AL229" i="5"/>
  <c r="AK229" i="5"/>
  <c r="AK228" i="5"/>
  <c r="AL228" i="5"/>
  <c r="AK82" i="5"/>
  <c r="AL82" i="5"/>
  <c r="AL464" i="5"/>
  <c r="AK464" i="5"/>
  <c r="AL294" i="5"/>
  <c r="AK294" i="5"/>
  <c r="AK76" i="5"/>
  <c r="AL76" i="5"/>
  <c r="AL275" i="5"/>
  <c r="AK275" i="5"/>
  <c r="AK34" i="5"/>
  <c r="AL34" i="5"/>
  <c r="AL530" i="5"/>
  <c r="AK530" i="5"/>
  <c r="AK253" i="5"/>
  <c r="AL253" i="5"/>
  <c r="AK127" i="5"/>
  <c r="AL127" i="5"/>
  <c r="AL355" i="5"/>
  <c r="AK355" i="5"/>
  <c r="AK292" i="5"/>
  <c r="AL292" i="5"/>
  <c r="AL202" i="5"/>
  <c r="AK202" i="5"/>
  <c r="AK270" i="5"/>
  <c r="AL270" i="5"/>
  <c r="AK29" i="5"/>
  <c r="AL29" i="5"/>
  <c r="AL68" i="5"/>
  <c r="AK68" i="5"/>
  <c r="AL369" i="5"/>
  <c r="AK369" i="5"/>
  <c r="AK155" i="5"/>
  <c r="AL155" i="5"/>
  <c r="AL48" i="5"/>
  <c r="AK48" i="5"/>
  <c r="AL391" i="5"/>
  <c r="AK391" i="5"/>
  <c r="AK94" i="5"/>
  <c r="AL94" i="5"/>
  <c r="AK557" i="5"/>
  <c r="AL557" i="5"/>
  <c r="AK384" i="5"/>
  <c r="AL384" i="5"/>
  <c r="AK390" i="5"/>
  <c r="AL390" i="5"/>
  <c r="AL96" i="5"/>
  <c r="AK96" i="5"/>
  <c r="AK47" i="5"/>
  <c r="AL47" i="5"/>
  <c r="AK382" i="5"/>
  <c r="AL382" i="5"/>
  <c r="AK295" i="5"/>
  <c r="AL295" i="5"/>
  <c r="AL330" i="5"/>
  <c r="AK330" i="5"/>
  <c r="AK118" i="5"/>
  <c r="AL118" i="5"/>
  <c r="AK522" i="5"/>
  <c r="AL522" i="5"/>
  <c r="AK537" i="5"/>
  <c r="AL537" i="5"/>
  <c r="AK405" i="5"/>
  <c r="AL405" i="5"/>
  <c r="AK113" i="5"/>
  <c r="AL113" i="5"/>
  <c r="AK35" i="5"/>
  <c r="AL35" i="5"/>
  <c r="AK126" i="5"/>
  <c r="AL126" i="5"/>
  <c r="AL8" i="5"/>
  <c r="AK8" i="5"/>
  <c r="AL54" i="5"/>
  <c r="AK54" i="5"/>
  <c r="AK414" i="5"/>
  <c r="AL414" i="5"/>
  <c r="AK518" i="5"/>
  <c r="AL518" i="5"/>
  <c r="AK364" i="5"/>
  <c r="AL364" i="5"/>
  <c r="AK482" i="5"/>
  <c r="AL482" i="5"/>
  <c r="AK338" i="5"/>
  <c r="AL338" i="5"/>
  <c r="AK521" i="5"/>
  <c r="AL521" i="5"/>
  <c r="AK445" i="5"/>
  <c r="AL445" i="5"/>
  <c r="AK536" i="5"/>
  <c r="AL536" i="5"/>
  <c r="AK411" i="5"/>
  <c r="AL411" i="5"/>
  <c r="AK392" i="5"/>
  <c r="AL392" i="5"/>
  <c r="AL535" i="5"/>
  <c r="AK535" i="5"/>
  <c r="AL316" i="5"/>
  <c r="AK316" i="5"/>
  <c r="AL123" i="5"/>
  <c r="AK123" i="5"/>
  <c r="AL80" i="5"/>
  <c r="AK80" i="5"/>
  <c r="AK106" i="5"/>
  <c r="AL106" i="5"/>
  <c r="AL70" i="5"/>
  <c r="AK70" i="5"/>
  <c r="AK457" i="5"/>
  <c r="AL457" i="5"/>
  <c r="AK534" i="5"/>
  <c r="AL534" i="5"/>
  <c r="AK404" i="5"/>
  <c r="AL404" i="5"/>
  <c r="AL545" i="5"/>
  <c r="AK545" i="5"/>
  <c r="AL362" i="5"/>
  <c r="AK362" i="5"/>
  <c r="AK549" i="5"/>
  <c r="AL549" i="5"/>
  <c r="AL471" i="5"/>
  <c r="AK471" i="5"/>
  <c r="AK550" i="5"/>
  <c r="AL550" i="5"/>
  <c r="AL439" i="5"/>
  <c r="AK439" i="5"/>
  <c r="AL421" i="5"/>
  <c r="AK421" i="5"/>
  <c r="AK205" i="5"/>
  <c r="AL205" i="5"/>
  <c r="AK282" i="5"/>
  <c r="AL282" i="5"/>
  <c r="AK210" i="5"/>
  <c r="AL210" i="5"/>
  <c r="AL168" i="5"/>
  <c r="AK168" i="5"/>
  <c r="AK79" i="5"/>
  <c r="AL79" i="5"/>
  <c r="AK191" i="5"/>
  <c r="AL191" i="5"/>
  <c r="AL124" i="5"/>
  <c r="AK124" i="5"/>
  <c r="AK31" i="5"/>
  <c r="AL31" i="5"/>
  <c r="AK444" i="5"/>
  <c r="AL444" i="5"/>
  <c r="AL526" i="5"/>
  <c r="AK526" i="5"/>
  <c r="AL380" i="5"/>
  <c r="AK380" i="5"/>
  <c r="AK528" i="5"/>
  <c r="AL528" i="5"/>
  <c r="AL354" i="5"/>
  <c r="AK354" i="5"/>
  <c r="AL541" i="5"/>
  <c r="AK541" i="5"/>
  <c r="AL458" i="5"/>
  <c r="AK458" i="5"/>
  <c r="AK544" i="5"/>
  <c r="AL544" i="5"/>
  <c r="AK427" i="5"/>
  <c r="AL427" i="5"/>
  <c r="AL409" i="5"/>
  <c r="AK409" i="5"/>
  <c r="AK60" i="5"/>
  <c r="AL60" i="5"/>
  <c r="AK237" i="5"/>
  <c r="AL237" i="5"/>
  <c r="AK192" i="5"/>
  <c r="AL192" i="5"/>
  <c r="AL150" i="5"/>
  <c r="AK150" i="5"/>
  <c r="AL336" i="5"/>
  <c r="AK336" i="5"/>
  <c r="AK524" i="5"/>
  <c r="AL524" i="5"/>
  <c r="AL461" i="5"/>
  <c r="AK461" i="5"/>
  <c r="AL399" i="5"/>
  <c r="AK399" i="5"/>
  <c r="AK232" i="5"/>
  <c r="AL232" i="5"/>
  <c r="AK381" i="5"/>
  <c r="AL381" i="5"/>
  <c r="AL314" i="5"/>
  <c r="AK314" i="5"/>
  <c r="AL95" i="5"/>
  <c r="AK95" i="5"/>
  <c r="AL517" i="5"/>
  <c r="AK517" i="5"/>
  <c r="AL459" i="5"/>
  <c r="AK459" i="5"/>
  <c r="AL351" i="5"/>
  <c r="AK351" i="5"/>
  <c r="AK247" i="5"/>
  <c r="AL247" i="5"/>
  <c r="AL289" i="5"/>
  <c r="AK289" i="5"/>
  <c r="AK241" i="5"/>
  <c r="AL241" i="5"/>
  <c r="AK57" i="5"/>
  <c r="AL57" i="5"/>
  <c r="AL198" i="5"/>
  <c r="AK198" i="5"/>
  <c r="AL46" i="5"/>
  <c r="AK46" i="5"/>
  <c r="AL268" i="5"/>
  <c r="AK268" i="5"/>
  <c r="AL199" i="5"/>
  <c r="AK199" i="5"/>
  <c r="AL154" i="5"/>
  <c r="AK154" i="5"/>
  <c r="AK173" i="5"/>
  <c r="AL173" i="5"/>
  <c r="AK274" i="5"/>
  <c r="AL274" i="5"/>
  <c r="AK547" i="5"/>
  <c r="AL547" i="5"/>
  <c r="AK496" i="5"/>
  <c r="AL496" i="5"/>
  <c r="AK388" i="5"/>
  <c r="AL388" i="5"/>
  <c r="AK325" i="5"/>
  <c r="AL325" i="5"/>
  <c r="AK119" i="5"/>
  <c r="AL119" i="5"/>
  <c r="AL262" i="5"/>
  <c r="AK262" i="5"/>
  <c r="AK216" i="5"/>
  <c r="AL216" i="5"/>
  <c r="AK238" i="5"/>
  <c r="AL238" i="5"/>
  <c r="AL148" i="5"/>
  <c r="AK148" i="5"/>
  <c r="AL307" i="5"/>
  <c r="AK307" i="5"/>
  <c r="AK239" i="5"/>
  <c r="AL239" i="5"/>
  <c r="AK89" i="5"/>
  <c r="AL89" i="5"/>
  <c r="AK101" i="5"/>
  <c r="AL101" i="5"/>
  <c r="AK59" i="5"/>
  <c r="AL59" i="5"/>
  <c r="AK548" i="5"/>
  <c r="AL548" i="5"/>
  <c r="AK499" i="5"/>
  <c r="AL499" i="5"/>
  <c r="AL435" i="5"/>
  <c r="AK435" i="5"/>
  <c r="AK303" i="5"/>
  <c r="AL303" i="5"/>
  <c r="AL417" i="5"/>
  <c r="AK417" i="5"/>
  <c r="AK349" i="5"/>
  <c r="AL349" i="5"/>
  <c r="AL269" i="5"/>
  <c r="AK269" i="5"/>
  <c r="AK543" i="5"/>
  <c r="AL543" i="5"/>
  <c r="AK494" i="5"/>
  <c r="AL494" i="5"/>
  <c r="AL383" i="5"/>
  <c r="AK383" i="5"/>
  <c r="AK321" i="5"/>
  <c r="AL321" i="5"/>
  <c r="AK324" i="5"/>
  <c r="AL324" i="5"/>
  <c r="AK260" i="5"/>
  <c r="AL260" i="5"/>
  <c r="AL212" i="5"/>
  <c r="AK212" i="5"/>
  <c r="AK235" i="5"/>
  <c r="AL235" i="5"/>
  <c r="AL139" i="5"/>
  <c r="AK139" i="5"/>
  <c r="AK302" i="5"/>
  <c r="AL302" i="5"/>
  <c r="AL233" i="5"/>
  <c r="AK233" i="5"/>
  <c r="AL62" i="5"/>
  <c r="AK62" i="5"/>
  <c r="AK97" i="5"/>
  <c r="AL97" i="5"/>
  <c r="AK33" i="5"/>
  <c r="AL33" i="5"/>
  <c r="AL432" i="5"/>
  <c r="AK432" i="5"/>
  <c r="AK88" i="5"/>
  <c r="AL88" i="5"/>
  <c r="AK280" i="5"/>
  <c r="AL280" i="5"/>
  <c r="AK19" i="5"/>
  <c r="AL19" i="5"/>
  <c r="AK137" i="5"/>
  <c r="AL137" i="5"/>
  <c r="AK542" i="5"/>
  <c r="AL542" i="5"/>
  <c r="AK74" i="5"/>
  <c r="AL74" i="5"/>
  <c r="AK149" i="5"/>
  <c r="AL149" i="5"/>
  <c r="AK272" i="5"/>
  <c r="AL272" i="5"/>
  <c r="AK418" i="5"/>
  <c r="AL418" i="5"/>
  <c r="AK360" i="5"/>
  <c r="AL360" i="5"/>
  <c r="AK261" i="5"/>
  <c r="AL261" i="5"/>
  <c r="AK204" i="5"/>
  <c r="AL204" i="5"/>
  <c r="AK116" i="5"/>
  <c r="AL116" i="5"/>
  <c r="AK487" i="5"/>
  <c r="AL487" i="5"/>
  <c r="AL438" i="5"/>
  <c r="AK438" i="5"/>
  <c r="AL416" i="5"/>
  <c r="AK416" i="5"/>
  <c r="AK353" i="5"/>
  <c r="AL353" i="5"/>
  <c r="AK248" i="5"/>
  <c r="AL248" i="5"/>
  <c r="AK42" i="5"/>
  <c r="AL42" i="5"/>
  <c r="AK22" i="5"/>
  <c r="AL22" i="5"/>
  <c r="AL334" i="5"/>
  <c r="AK334" i="5"/>
  <c r="AL78" i="5"/>
  <c r="AK78" i="5"/>
  <c r="AL434" i="5"/>
  <c r="AK434" i="5"/>
  <c r="AL560" i="5"/>
  <c r="AK560" i="5"/>
  <c r="AL293" i="5"/>
  <c r="AK293" i="5"/>
  <c r="AL236" i="5"/>
  <c r="AK236" i="5"/>
  <c r="AK408" i="5"/>
  <c r="AL408" i="5"/>
  <c r="AL431" i="5"/>
  <c r="AK431" i="5"/>
  <c r="AK345" i="5"/>
  <c r="AL345" i="5"/>
  <c r="AK539" i="5"/>
  <c r="AL539" i="5"/>
  <c r="AK317" i="5"/>
  <c r="AL317" i="5"/>
  <c r="AL208" i="5"/>
  <c r="AK208" i="5"/>
  <c r="AL131" i="5"/>
  <c r="AK131" i="5"/>
  <c r="AL52" i="5"/>
  <c r="AK52" i="5"/>
  <c r="AK523" i="5"/>
  <c r="AL523" i="5"/>
  <c r="AK277" i="5"/>
  <c r="AL277" i="5"/>
  <c r="AL246" i="5"/>
  <c r="AK246" i="5"/>
  <c r="AL73" i="5"/>
  <c r="AK73" i="5"/>
  <c r="AL162" i="5"/>
  <c r="AK162" i="5"/>
  <c r="AL344" i="5"/>
  <c r="AK344" i="5"/>
  <c r="AL403" i="5"/>
  <c r="AK403" i="5"/>
  <c r="AL318" i="5"/>
  <c r="AK318" i="5"/>
  <c r="AK519" i="5"/>
  <c r="AL519" i="5"/>
  <c r="AL264" i="5"/>
  <c r="AK264" i="5"/>
  <c r="AL67" i="5"/>
  <c r="AK67" i="5"/>
  <c r="AL55" i="5"/>
  <c r="AK55" i="5"/>
  <c r="AK203" i="5"/>
  <c r="AL203" i="5"/>
  <c r="AL497" i="5"/>
  <c r="AK497" i="5"/>
  <c r="AK340" i="5"/>
  <c r="AL340" i="5"/>
  <c r="AL446" i="5"/>
  <c r="AK446" i="5"/>
  <c r="AK183" i="5"/>
  <c r="AL183" i="5"/>
  <c r="AK311" i="5"/>
  <c r="AL311" i="5"/>
  <c r="AL145" i="5"/>
  <c r="AK145" i="5"/>
  <c r="AK426" i="5"/>
  <c r="AL426" i="5"/>
  <c r="AL486" i="5"/>
  <c r="AK486" i="5"/>
  <c r="AK220" i="5"/>
  <c r="AL220" i="5"/>
  <c r="AK58" i="5"/>
  <c r="AL58" i="5"/>
  <c r="AK498" i="5"/>
  <c r="AL498" i="5"/>
  <c r="AK386" i="5"/>
  <c r="AL386" i="5"/>
  <c r="AL454" i="5"/>
  <c r="AK454" i="5"/>
  <c r="AK240" i="5"/>
  <c r="AL240" i="5"/>
  <c r="AL167" i="5"/>
  <c r="AK167" i="5"/>
  <c r="AL372" i="5"/>
  <c r="AK372" i="5"/>
  <c r="AK449" i="5"/>
  <c r="AL449" i="5"/>
  <c r="AL551" i="5"/>
  <c r="AK551" i="5"/>
  <c r="AK72" i="5"/>
  <c r="AL72" i="5"/>
  <c r="AK51" i="5"/>
  <c r="AL51" i="5"/>
  <c r="AK90" i="5"/>
  <c r="AL90" i="5"/>
  <c r="AK108" i="5"/>
  <c r="AL108" i="5"/>
  <c r="AL128" i="5"/>
  <c r="AK128" i="5"/>
  <c r="AK350" i="5"/>
  <c r="AL350" i="5"/>
  <c r="AL492" i="5"/>
  <c r="AK492" i="5"/>
  <c r="AK304" i="5"/>
  <c r="AL304" i="5"/>
  <c r="AK442" i="5"/>
  <c r="AL442" i="5"/>
  <c r="AK41" i="5"/>
  <c r="AL41" i="5"/>
  <c r="AK473" i="5"/>
  <c r="AL473" i="5"/>
  <c r="AL424" i="5"/>
  <c r="AK424" i="5"/>
  <c r="AL504" i="5"/>
  <c r="AK504" i="5"/>
  <c r="AL332" i="5"/>
  <c r="AK332" i="5"/>
  <c r="AL357" i="5"/>
  <c r="AK357" i="5"/>
  <c r="AK485" i="5"/>
  <c r="AL485" i="5"/>
  <c r="AL256" i="5"/>
  <c r="AK256" i="5"/>
  <c r="AL297" i="5"/>
  <c r="AK297" i="5"/>
  <c r="AK98" i="5"/>
  <c r="AL98" i="5"/>
  <c r="AL104" i="5"/>
  <c r="AK104" i="5"/>
  <c r="AL187" i="5"/>
  <c r="AK187" i="5"/>
  <c r="AK397" i="5"/>
  <c r="AL397" i="5"/>
  <c r="AL510" i="5"/>
  <c r="AK510" i="5"/>
  <c r="AK356" i="5"/>
  <c r="AL356" i="5"/>
  <c r="AL468" i="5"/>
  <c r="AK468" i="5"/>
  <c r="AL329" i="5"/>
  <c r="AK329" i="5"/>
  <c r="AK512" i="5"/>
  <c r="AL512" i="5"/>
  <c r="AK441" i="5"/>
  <c r="AL441" i="5"/>
  <c r="AL532" i="5"/>
  <c r="AK532" i="5"/>
  <c r="AK407" i="5"/>
  <c r="AL407" i="5"/>
  <c r="AK387" i="5"/>
  <c r="AL387" i="5"/>
  <c r="AK525" i="5"/>
  <c r="AL525" i="5"/>
  <c r="AL299" i="5"/>
  <c r="AK299" i="5"/>
  <c r="AK83" i="5"/>
  <c r="AL83" i="5"/>
  <c r="AK45" i="5"/>
  <c r="AL45" i="5"/>
  <c r="AL100" i="5"/>
  <c r="AK100" i="5"/>
  <c r="AL130" i="5"/>
  <c r="AK130" i="5"/>
  <c r="AK132" i="5"/>
  <c r="AL132" i="5"/>
  <c r="AK136" i="5"/>
  <c r="AL136" i="5"/>
  <c r="AK366" i="5"/>
  <c r="AL366" i="5"/>
  <c r="AK506" i="5"/>
  <c r="AL506" i="5"/>
  <c r="AK348" i="5"/>
  <c r="AL348" i="5"/>
  <c r="AK450" i="5"/>
  <c r="AL450" i="5"/>
  <c r="AK263" i="5"/>
  <c r="AL263" i="5"/>
  <c r="AL500" i="5"/>
  <c r="AK500" i="5"/>
  <c r="AK437" i="5"/>
  <c r="AL437" i="5"/>
  <c r="AL520" i="5"/>
  <c r="AK520" i="5"/>
  <c r="AL393" i="5"/>
  <c r="AK393" i="5"/>
  <c r="AL373" i="5"/>
  <c r="AK373" i="5"/>
  <c r="AK513" i="5"/>
  <c r="AL513" i="5"/>
  <c r="AL283" i="5"/>
  <c r="AK283" i="5"/>
  <c r="AK36" i="5"/>
  <c r="AL36" i="5"/>
  <c r="AK161" i="5"/>
  <c r="AL161" i="5"/>
  <c r="AL144" i="5"/>
  <c r="AK144" i="5"/>
  <c r="AL508" i="5"/>
  <c r="AK508" i="5"/>
  <c r="AK447" i="5"/>
  <c r="AL447" i="5"/>
  <c r="AK378" i="5"/>
  <c r="AL378" i="5"/>
  <c r="AK429" i="5"/>
  <c r="AL429" i="5"/>
  <c r="AL361" i="5"/>
  <c r="AK361" i="5"/>
  <c r="AK288" i="5"/>
  <c r="AL288" i="5"/>
  <c r="AL555" i="5"/>
  <c r="AK555" i="5"/>
  <c r="AK507" i="5"/>
  <c r="AL507" i="5"/>
  <c r="AK394" i="5"/>
  <c r="AL394" i="5"/>
  <c r="AK335" i="5"/>
  <c r="AL335" i="5"/>
  <c r="AK179" i="5"/>
  <c r="AL179" i="5"/>
  <c r="AK273" i="5"/>
  <c r="AL273" i="5"/>
  <c r="AK225" i="5"/>
  <c r="AL225" i="5"/>
  <c r="AK242" i="5"/>
  <c r="AL242" i="5"/>
  <c r="AK182" i="5"/>
  <c r="AL182" i="5"/>
  <c r="AL315" i="5"/>
  <c r="AK315" i="5"/>
  <c r="AK251" i="5"/>
  <c r="AL251" i="5"/>
  <c r="AK181" i="5"/>
  <c r="AL181" i="5"/>
  <c r="AK117" i="5"/>
  <c r="AL117" i="5"/>
  <c r="AK91" i="5"/>
  <c r="AL91" i="5"/>
  <c r="AK230" i="5"/>
  <c r="AL230" i="5"/>
  <c r="AK533" i="5"/>
  <c r="AL533" i="5"/>
  <c r="AL480" i="5"/>
  <c r="AK480" i="5"/>
  <c r="AL375" i="5"/>
  <c r="AK375" i="5"/>
  <c r="AL309" i="5"/>
  <c r="AK309" i="5"/>
  <c r="AL312" i="5"/>
  <c r="AK312" i="5"/>
  <c r="AL254" i="5"/>
  <c r="AK254" i="5"/>
  <c r="AK200" i="5"/>
  <c r="AL200" i="5"/>
  <c r="AK222" i="5"/>
  <c r="AL222" i="5"/>
  <c r="AK115" i="5"/>
  <c r="AL115" i="5"/>
  <c r="AK291" i="5"/>
  <c r="AL291" i="5"/>
  <c r="AL223" i="5"/>
  <c r="AK223" i="5"/>
  <c r="AK180" i="5"/>
  <c r="AL180" i="5"/>
  <c r="AK66" i="5"/>
  <c r="AL66" i="5"/>
  <c r="AL376" i="5"/>
  <c r="AK376" i="5"/>
  <c r="AL540" i="5"/>
  <c r="AK540" i="5"/>
  <c r="AL483" i="5"/>
  <c r="AK483" i="5"/>
  <c r="AK419" i="5"/>
  <c r="AL419" i="5"/>
  <c r="AL271" i="5"/>
  <c r="AK271" i="5"/>
  <c r="AK401" i="5"/>
  <c r="AL401" i="5"/>
  <c r="AL333" i="5"/>
  <c r="AK333" i="5"/>
  <c r="AK221" i="5"/>
  <c r="AL221" i="5"/>
  <c r="AK529" i="5"/>
  <c r="AL529" i="5"/>
  <c r="AL478" i="5"/>
  <c r="AK478" i="5"/>
  <c r="AK371" i="5"/>
  <c r="AL371" i="5"/>
  <c r="AK296" i="5"/>
  <c r="AL296" i="5"/>
  <c r="AL308" i="5"/>
  <c r="AK308" i="5"/>
  <c r="AL252" i="5"/>
  <c r="AK252" i="5"/>
  <c r="AK193" i="5"/>
  <c r="AL193" i="5"/>
  <c r="AK218" i="5"/>
  <c r="AL218" i="5"/>
  <c r="AK107" i="5"/>
  <c r="AL107" i="5"/>
  <c r="AL286" i="5"/>
  <c r="AK286" i="5"/>
  <c r="AL219" i="5"/>
  <c r="AK219" i="5"/>
  <c r="AL176" i="5"/>
  <c r="AK176" i="5"/>
  <c r="AL64" i="5"/>
  <c r="AK64" i="5"/>
  <c r="B47" i="2"/>
  <c r="H20" i="1"/>
  <c r="G21" i="1"/>
  <c r="I23" i="1"/>
  <c r="I22" i="1"/>
  <c r="K25" i="2"/>
  <c r="AL12" i="5" l="1"/>
  <c r="BD287" i="5"/>
  <c r="AU12" i="5"/>
  <c r="V12" i="5"/>
  <c r="AY12" i="5"/>
  <c r="BE55" i="5"/>
  <c r="BE237" i="5"/>
  <c r="BC12" i="5"/>
  <c r="BE12" i="5" s="1"/>
  <c r="BE127" i="5"/>
  <c r="BD98" i="5"/>
  <c r="BD100" i="5"/>
  <c r="BE7" i="5"/>
  <c r="BE48" i="5"/>
  <c r="BE114" i="5"/>
  <c r="BD78" i="5"/>
  <c r="BD35" i="5"/>
  <c r="BE53" i="5"/>
  <c r="BD59" i="5"/>
  <c r="BE198" i="5"/>
  <c r="BE133" i="5"/>
  <c r="BD86" i="5"/>
  <c r="BE82" i="5"/>
  <c r="BE195" i="5"/>
  <c r="BE462" i="5"/>
  <c r="BD214" i="5"/>
  <c r="BD264" i="5"/>
  <c r="BD560" i="5"/>
  <c r="BE22" i="5"/>
  <c r="BE144" i="5"/>
  <c r="BE219" i="5"/>
  <c r="BE45" i="5"/>
  <c r="BE316" i="5"/>
  <c r="BE83" i="5"/>
  <c r="BD269" i="5"/>
  <c r="BD180" i="5"/>
  <c r="BE38" i="5"/>
  <c r="BE51" i="5"/>
  <c r="BE537" i="5"/>
  <c r="BD130" i="5"/>
  <c r="BD164" i="5"/>
  <c r="BD315" i="5"/>
  <c r="BD305" i="5"/>
  <c r="BD262" i="5"/>
  <c r="BE299" i="5"/>
  <c r="BE27" i="5"/>
  <c r="BD64" i="5"/>
  <c r="BE44" i="5"/>
  <c r="BE283" i="5"/>
  <c r="BD112" i="5"/>
  <c r="BD223" i="5"/>
  <c r="BE41" i="5"/>
  <c r="BD191" i="5"/>
  <c r="BE296" i="5"/>
  <c r="BE8" i="5"/>
  <c r="BD352" i="5"/>
  <c r="BE230" i="5"/>
  <c r="BE156" i="5"/>
  <c r="BD156" i="5"/>
  <c r="BE208" i="5"/>
  <c r="BD208" i="5"/>
  <c r="BE103" i="5"/>
  <c r="BE246" i="5"/>
  <c r="BE533" i="5"/>
  <c r="BD263" i="5"/>
  <c r="BE68" i="5"/>
  <c r="BD68" i="5"/>
  <c r="BE476" i="5"/>
  <c r="BD476" i="5"/>
  <c r="BE81" i="5"/>
  <c r="BD81" i="5"/>
  <c r="BE31" i="5"/>
  <c r="BD31" i="5"/>
  <c r="BE290" i="5"/>
  <c r="BD290" i="5"/>
  <c r="BD295" i="5"/>
  <c r="BE295" i="5"/>
  <c r="BD346" i="5"/>
  <c r="BE346" i="5"/>
  <c r="BE235" i="5"/>
  <c r="BD235" i="5"/>
  <c r="BD284" i="5"/>
  <c r="BE284" i="5"/>
  <c r="BE559" i="5"/>
  <c r="BD559" i="5"/>
  <c r="BD183" i="5"/>
  <c r="BE183" i="5"/>
  <c r="BD159" i="5"/>
  <c r="BE159" i="5"/>
  <c r="BE119" i="5"/>
  <c r="BD158" i="5"/>
  <c r="BE453" i="5"/>
  <c r="BD66" i="5"/>
  <c r="BD369" i="5"/>
  <c r="BE306" i="5"/>
  <c r="BE236" i="5"/>
  <c r="BD470" i="5"/>
  <c r="BD387" i="5"/>
  <c r="BE387" i="5"/>
  <c r="BD487" i="5"/>
  <c r="BE487" i="5"/>
  <c r="BD209" i="5"/>
  <c r="BE209" i="5"/>
  <c r="BE298" i="5"/>
  <c r="BD298" i="5"/>
  <c r="BD437" i="5"/>
  <c r="BE437" i="5"/>
  <c r="BD213" i="5"/>
  <c r="BE213" i="5"/>
  <c r="BD206" i="5"/>
  <c r="BE206" i="5"/>
  <c r="BE211" i="5"/>
  <c r="BD211" i="5"/>
  <c r="BD152" i="5"/>
  <c r="BE152" i="5"/>
  <c r="BE225" i="5"/>
  <c r="BD225" i="5"/>
  <c r="BD101" i="5"/>
  <c r="BE101" i="5"/>
  <c r="BE273" i="5"/>
  <c r="BD273" i="5"/>
  <c r="BD360" i="5"/>
  <c r="BE360" i="5"/>
  <c r="BE92" i="5"/>
  <c r="BD92" i="5"/>
  <c r="BE52" i="5"/>
  <c r="BD52" i="5"/>
  <c r="BE189" i="5"/>
  <c r="BD189" i="5"/>
  <c r="BE30" i="5"/>
  <c r="BD30" i="5"/>
  <c r="BD24" i="5"/>
  <c r="BE24" i="5"/>
  <c r="BD39" i="5"/>
  <c r="BE39" i="5"/>
  <c r="BE268" i="5"/>
  <c r="BD268" i="5"/>
  <c r="BD60" i="5"/>
  <c r="BE60" i="5"/>
  <c r="BE241" i="5"/>
  <c r="BD241" i="5"/>
  <c r="BD169" i="5"/>
  <c r="BE169" i="5"/>
  <c r="BE131" i="5"/>
  <c r="BD131" i="5"/>
  <c r="BD238" i="5"/>
  <c r="BE238" i="5"/>
  <c r="BD116" i="5"/>
  <c r="BE116" i="5"/>
  <c r="BE227" i="5"/>
  <c r="BD227" i="5"/>
  <c r="BE313" i="5"/>
  <c r="BD313" i="5"/>
  <c r="BD172" i="5"/>
  <c r="BE172" i="5"/>
  <c r="BE324" i="5"/>
  <c r="BD324" i="5"/>
  <c r="BD148" i="5"/>
  <c r="BE148" i="5"/>
  <c r="BD178" i="5"/>
  <c r="BE178" i="5"/>
  <c r="BE29" i="5"/>
  <c r="BD29" i="5"/>
  <c r="BD109" i="5"/>
  <c r="BE109" i="5"/>
  <c r="BE240" i="5"/>
  <c r="BD240" i="5"/>
  <c r="BD26" i="5"/>
  <c r="BE26" i="5"/>
  <c r="BE351" i="5"/>
  <c r="BD351" i="5"/>
  <c r="BD132" i="5"/>
  <c r="BE132" i="5"/>
  <c r="BE150" i="5"/>
  <c r="BD150" i="5"/>
  <c r="BD424" i="5"/>
  <c r="BE424" i="5"/>
  <c r="BD147" i="5"/>
  <c r="BE147" i="5"/>
  <c r="BE117" i="5"/>
  <c r="BD117" i="5"/>
  <c r="BD139" i="5"/>
  <c r="BE139" i="5"/>
  <c r="BE401" i="5"/>
  <c r="BD401" i="5"/>
  <c r="BE190" i="5"/>
  <c r="BD190" i="5"/>
  <c r="BD363" i="5"/>
  <c r="BE363" i="5"/>
  <c r="BE255" i="5"/>
  <c r="BD255" i="5"/>
  <c r="BE332" i="5"/>
  <c r="BD332" i="5"/>
  <c r="BD19" i="5"/>
  <c r="BE19" i="5"/>
  <c r="BD276" i="5"/>
  <c r="BE276" i="5"/>
  <c r="BD546" i="5"/>
  <c r="BE546" i="5"/>
  <c r="BE73" i="5"/>
  <c r="BD73" i="5"/>
  <c r="BD251" i="5"/>
  <c r="BE251" i="5"/>
  <c r="BD450" i="5"/>
  <c r="BE450" i="5"/>
  <c r="BD553" i="5"/>
  <c r="BE553" i="5"/>
  <c r="BE309" i="5"/>
  <c r="BD309" i="5"/>
  <c r="BE545" i="5"/>
  <c r="BD545" i="5"/>
  <c r="BE465" i="5"/>
  <c r="BD465" i="5"/>
  <c r="BD288" i="5"/>
  <c r="BE288" i="5"/>
  <c r="BE232" i="5"/>
  <c r="BD232" i="5"/>
  <c r="BD137" i="5"/>
  <c r="BE137" i="5"/>
  <c r="BE76" i="5"/>
  <c r="BD76" i="5"/>
  <c r="BD274" i="5"/>
  <c r="BE274" i="5"/>
  <c r="BD105" i="5"/>
  <c r="BE105" i="5"/>
  <c r="BE326" i="5"/>
  <c r="BD326" i="5"/>
  <c r="BE121" i="5"/>
  <c r="BD121" i="5"/>
  <c r="BE201" i="5"/>
  <c r="BD201" i="5"/>
  <c r="BD111" i="5"/>
  <c r="BE111" i="5"/>
  <c r="BE110" i="5"/>
  <c r="BD110" i="5"/>
  <c r="BE184" i="5"/>
  <c r="BD184" i="5"/>
  <c r="BE157" i="5"/>
  <c r="BD157" i="5"/>
  <c r="BE202" i="5"/>
  <c r="BD202" i="5"/>
  <c r="BE199" i="5"/>
  <c r="BD199" i="5"/>
  <c r="BD154" i="5"/>
  <c r="BE154" i="5"/>
  <c r="BE243" i="5"/>
  <c r="BD243" i="5"/>
  <c r="BE317" i="5"/>
  <c r="BD317" i="5"/>
  <c r="BD126" i="5"/>
  <c r="BE126" i="5"/>
  <c r="BD412" i="5"/>
  <c r="BE412" i="5"/>
  <c r="BD289" i="5"/>
  <c r="BE289" i="5"/>
  <c r="BD136" i="5"/>
  <c r="BE136" i="5"/>
  <c r="BE411" i="5"/>
  <c r="BD411" i="5"/>
  <c r="BD160" i="5"/>
  <c r="BE160" i="5"/>
  <c r="BD279" i="5"/>
  <c r="BE279" i="5"/>
  <c r="BE194" i="5"/>
  <c r="BD194" i="5"/>
  <c r="BD212" i="5"/>
  <c r="BE212" i="5"/>
  <c r="BE91" i="5"/>
  <c r="BD91" i="5"/>
  <c r="BD414" i="5"/>
  <c r="BE414" i="5"/>
  <c r="BD501" i="5"/>
  <c r="BE501" i="5"/>
  <c r="BD477" i="5"/>
  <c r="BE477" i="5"/>
  <c r="BD432" i="5"/>
  <c r="BE432" i="5"/>
  <c r="BD108" i="5"/>
  <c r="BE108" i="5"/>
  <c r="BD89" i="5"/>
  <c r="BE89" i="5"/>
  <c r="BE314" i="5"/>
  <c r="BD314" i="5"/>
  <c r="BE74" i="5"/>
  <c r="BD74" i="5"/>
  <c r="BE323" i="5"/>
  <c r="BD323" i="5"/>
  <c r="BD32" i="5"/>
  <c r="BE32" i="5"/>
  <c r="BE134" i="5"/>
  <c r="BD134" i="5"/>
  <c r="BE261" i="5"/>
  <c r="BD261" i="5"/>
  <c r="BD532" i="5"/>
  <c r="BE532" i="5"/>
  <c r="BE478" i="5"/>
  <c r="BD478" i="5"/>
  <c r="BD392" i="5"/>
  <c r="BE392" i="5"/>
  <c r="BD242" i="5"/>
  <c r="BE242" i="5"/>
  <c r="BD226" i="5"/>
  <c r="BE226" i="5"/>
  <c r="BD285" i="5"/>
  <c r="BE285" i="5"/>
  <c r="BD491" i="5"/>
  <c r="BE491" i="5"/>
  <c r="BD249" i="5"/>
  <c r="BE249" i="5"/>
  <c r="BD69" i="5"/>
  <c r="BE69" i="5"/>
  <c r="BE174" i="5"/>
  <c r="BD174" i="5"/>
  <c r="BE171" i="5"/>
  <c r="BD171" i="5"/>
  <c r="BE125" i="5"/>
  <c r="BD125" i="5"/>
  <c r="BD118" i="5"/>
  <c r="BE118" i="5"/>
  <c r="BD88" i="5"/>
  <c r="BE88" i="5"/>
  <c r="BD40" i="5"/>
  <c r="BE40" i="5"/>
  <c r="BD247" i="5"/>
  <c r="BE247" i="5"/>
  <c r="BD56" i="5"/>
  <c r="BE56" i="5"/>
  <c r="BD47" i="5"/>
  <c r="BE47" i="5"/>
  <c r="BD85" i="5"/>
  <c r="BE85" i="5"/>
  <c r="BE302" i="5"/>
  <c r="BD302" i="5"/>
  <c r="BE265" i="5"/>
  <c r="BD265" i="5"/>
  <c r="BD161" i="5"/>
  <c r="BE161" i="5"/>
  <c r="BD185" i="5"/>
  <c r="BE185" i="5"/>
  <c r="BD221" i="5"/>
  <c r="BE163" i="5"/>
  <c r="BE234" i="5"/>
  <c r="BD115" i="5"/>
  <c r="BE122" i="5"/>
  <c r="BD166" i="5"/>
  <c r="BD84" i="5"/>
  <c r="BD23" i="5"/>
  <c r="BE536" i="5"/>
  <c r="BD543" i="5"/>
  <c r="BE469" i="5"/>
  <c r="BE481" i="5"/>
  <c r="BD329" i="5"/>
  <c r="BD138" i="5"/>
  <c r="BE138" i="5"/>
  <c r="BD140" i="5"/>
  <c r="BE140" i="5"/>
  <c r="BE245" i="5"/>
  <c r="BD145" i="5"/>
  <c r="BE145" i="5"/>
  <c r="BE149" i="5"/>
  <c r="BD149" i="5"/>
  <c r="BE75" i="5"/>
  <c r="BD97" i="5"/>
  <c r="BE43" i="5"/>
  <c r="BD71" i="5"/>
  <c r="BE338" i="5"/>
  <c r="BE168" i="5"/>
  <c r="BD210" i="5"/>
  <c r="BD72" i="5"/>
  <c r="BE72" i="5"/>
  <c r="BE393" i="5"/>
  <c r="BE113" i="5"/>
  <c r="BE65" i="5"/>
  <c r="BE356" i="5"/>
  <c r="BE521" i="5"/>
  <c r="BD555" i="5"/>
  <c r="BD80" i="5"/>
  <c r="BE80" i="5"/>
  <c r="BE197" i="5"/>
  <c r="BD197" i="5"/>
  <c r="BD495" i="5"/>
  <c r="BD175" i="5"/>
  <c r="BE141" i="5"/>
  <c r="BE278" i="5"/>
  <c r="BE34" i="5"/>
  <c r="BE337" i="5"/>
  <c r="BD549" i="5"/>
  <c r="BE70" i="5"/>
  <c r="BD21" i="5"/>
  <c r="BE379" i="5"/>
  <c r="BD379" i="5"/>
  <c r="BE61" i="5"/>
  <c r="BD344" i="5"/>
  <c r="BE286" i="5"/>
  <c r="BD286" i="5"/>
  <c r="BD300" i="5"/>
  <c r="BE90" i="5"/>
  <c r="BD90" i="5"/>
  <c r="BE440" i="5"/>
  <c r="BD440" i="5"/>
  <c r="BD231" i="5"/>
  <c r="BD188" i="5"/>
  <c r="BE303" i="5"/>
  <c r="BD303" i="5"/>
  <c r="BE244" i="5"/>
  <c r="BD244" i="5"/>
  <c r="BE193" i="5"/>
  <c r="BD193" i="5"/>
  <c r="BD229" i="5"/>
  <c r="BE229" i="5"/>
  <c r="BD405" i="5"/>
  <c r="BE405" i="5"/>
  <c r="BD275" i="5"/>
  <c r="BE275" i="5"/>
  <c r="BE294" i="5"/>
  <c r="BD294" i="5"/>
  <c r="BE182" i="5"/>
  <c r="BD182" i="5"/>
  <c r="BE365" i="5"/>
  <c r="BD365" i="5"/>
  <c r="BE445" i="5"/>
  <c r="BD445" i="5"/>
  <c r="BE515" i="5"/>
  <c r="BD515" i="5"/>
  <c r="BE448" i="5"/>
  <c r="BD448" i="5"/>
  <c r="BD106" i="5"/>
  <c r="BE106" i="5"/>
  <c r="BD282" i="5"/>
  <c r="BE282" i="5"/>
  <c r="BD239" i="5"/>
  <c r="BE239" i="5"/>
  <c r="BE505" i="5"/>
  <c r="BD505" i="5"/>
  <c r="BD396" i="5"/>
  <c r="BE396" i="5"/>
  <c r="BE407" i="5"/>
  <c r="BD407" i="5"/>
  <c r="BD547" i="5"/>
  <c r="BE547" i="5"/>
  <c r="BE94" i="5"/>
  <c r="BD46" i="5"/>
  <c r="BE46" i="5"/>
  <c r="BE162" i="5"/>
  <c r="BD162" i="5"/>
  <c r="BD167" i="5"/>
  <c r="BE167" i="5"/>
  <c r="BE277" i="5"/>
  <c r="BD277" i="5"/>
  <c r="BD340" i="5"/>
  <c r="BE340" i="5"/>
  <c r="BD409" i="5"/>
  <c r="BE409" i="5"/>
  <c r="BD496" i="5"/>
  <c r="BE496" i="5"/>
  <c r="BE475" i="5"/>
  <c r="BD475" i="5"/>
  <c r="BD362" i="5"/>
  <c r="BE362" i="5"/>
  <c r="BE410" i="5"/>
  <c r="BD410" i="5"/>
  <c r="BE361" i="5"/>
  <c r="BD361" i="5"/>
  <c r="BE433" i="5"/>
  <c r="BD433" i="5"/>
  <c r="BD473" i="5"/>
  <c r="BE473" i="5"/>
  <c r="BD517" i="5"/>
  <c r="BE517" i="5"/>
  <c r="BD493" i="5"/>
  <c r="BE493" i="5"/>
  <c r="BD339" i="5"/>
  <c r="BE339" i="5"/>
  <c r="BD280" i="5"/>
  <c r="BE280" i="5"/>
  <c r="BD124" i="5"/>
  <c r="BE124" i="5"/>
  <c r="BE461" i="5"/>
  <c r="BD461" i="5"/>
  <c r="BE358" i="5"/>
  <c r="BD358" i="5"/>
  <c r="BD457" i="5"/>
  <c r="BE457" i="5"/>
  <c r="BD348" i="5"/>
  <c r="BE348" i="5"/>
  <c r="BD256" i="5"/>
  <c r="BE256" i="5"/>
  <c r="BE503" i="5"/>
  <c r="BD503" i="5"/>
  <c r="BE58" i="5"/>
  <c r="BD58" i="5"/>
  <c r="BD187" i="5"/>
  <c r="BE187" i="5"/>
  <c r="BD20" i="5"/>
  <c r="BE20" i="5"/>
  <c r="BD416" i="5"/>
  <c r="BE416" i="5"/>
  <c r="BD57" i="5"/>
  <c r="BE57" i="5"/>
  <c r="BD355" i="5"/>
  <c r="BE355" i="5"/>
  <c r="BE62" i="5"/>
  <c r="BD62" i="5"/>
  <c r="BD128" i="5"/>
  <c r="BE128" i="5"/>
  <c r="BE376" i="5"/>
  <c r="BD376" i="5"/>
  <c r="BD527" i="5"/>
  <c r="BE527" i="5"/>
  <c r="BD431" i="5"/>
  <c r="BE431" i="5"/>
  <c r="BD439" i="5"/>
  <c r="BE439" i="5"/>
  <c r="BE492" i="5"/>
  <c r="BD492" i="5"/>
  <c r="BE541" i="5"/>
  <c r="BD541" i="5"/>
  <c r="BD447" i="5"/>
  <c r="BE447" i="5"/>
  <c r="BE28" i="5"/>
  <c r="BD28" i="5"/>
  <c r="BE181" i="5"/>
  <c r="BD181" i="5"/>
  <c r="BD95" i="5"/>
  <c r="BE95" i="5"/>
  <c r="BD120" i="5"/>
  <c r="BE120" i="5"/>
  <c r="BE413" i="5"/>
  <c r="BD413" i="5"/>
  <c r="V13" i="5"/>
  <c r="U13" i="5"/>
  <c r="BE96" i="5"/>
  <c r="BD96" i="5"/>
  <c r="BE331" i="5"/>
  <c r="BD331" i="5"/>
  <c r="BE377" i="5"/>
  <c r="BD377" i="5"/>
  <c r="BD186" i="5"/>
  <c r="BE186" i="5"/>
  <c r="BE293" i="5"/>
  <c r="BD293" i="5"/>
  <c r="BE406" i="5"/>
  <c r="BD406" i="5"/>
  <c r="BD415" i="5"/>
  <c r="BE415" i="5"/>
  <c r="BE402" i="5"/>
  <c r="BD402" i="5"/>
  <c r="BD420" i="5"/>
  <c r="BE420" i="5"/>
  <c r="BE449" i="5"/>
  <c r="BD449" i="5"/>
  <c r="BD464" i="5"/>
  <c r="BE464" i="5"/>
  <c r="BD531" i="5"/>
  <c r="BE531" i="5"/>
  <c r="BE529" i="5"/>
  <c r="BD529" i="5"/>
  <c r="BD176" i="5"/>
  <c r="BE176" i="5"/>
  <c r="BE253" i="5"/>
  <c r="BD253" i="5"/>
  <c r="BE370" i="5"/>
  <c r="BD370" i="5"/>
  <c r="BE389" i="5"/>
  <c r="BD389" i="5"/>
  <c r="BE417" i="5"/>
  <c r="BD417" i="5"/>
  <c r="BE514" i="5"/>
  <c r="BD514" i="5"/>
  <c r="BD530" i="5"/>
  <c r="BE530" i="5"/>
  <c r="BE364" i="5"/>
  <c r="BD364" i="5"/>
  <c r="BE107" i="5"/>
  <c r="BD107" i="5"/>
  <c r="BD271" i="5"/>
  <c r="BE271" i="5"/>
  <c r="BE104" i="5"/>
  <c r="BD104" i="5"/>
  <c r="BE165" i="5"/>
  <c r="BD165" i="5"/>
  <c r="BE291" i="5"/>
  <c r="BD291" i="5"/>
  <c r="BD544" i="5"/>
  <c r="BE544" i="5"/>
  <c r="BE451" i="5"/>
  <c r="BD451" i="5"/>
  <c r="BE472" i="5"/>
  <c r="BD472" i="5"/>
  <c r="BD155" i="5"/>
  <c r="BE155" i="5"/>
  <c r="BE67" i="5"/>
  <c r="BD67" i="5"/>
  <c r="BE423" i="5"/>
  <c r="BD423" i="5"/>
  <c r="BD539" i="5"/>
  <c r="BE539" i="5"/>
  <c r="BD436" i="5"/>
  <c r="BE436" i="5"/>
  <c r="BE397" i="5"/>
  <c r="BD397" i="5"/>
  <c r="BE467" i="5"/>
  <c r="BD467" i="5"/>
  <c r="BE347" i="5"/>
  <c r="BD347" i="5"/>
  <c r="BE330" i="5"/>
  <c r="BD330" i="5"/>
  <c r="BD304" i="5"/>
  <c r="BE304" i="5"/>
  <c r="BE153" i="5"/>
  <c r="BD153" i="5"/>
  <c r="BD500" i="5"/>
  <c r="BE500" i="5"/>
  <c r="BE391" i="5"/>
  <c r="BD391" i="5"/>
  <c r="BD554" i="5"/>
  <c r="BE554" i="5"/>
  <c r="BD502" i="5"/>
  <c r="BE502" i="5"/>
  <c r="BD33" i="5"/>
  <c r="BE33" i="5"/>
  <c r="BE403" i="5"/>
  <c r="BD403" i="5"/>
  <c r="BD318" i="5"/>
  <c r="BE318" i="5"/>
  <c r="BE372" i="5"/>
  <c r="BD372" i="5"/>
  <c r="BD322" i="5"/>
  <c r="BE322" i="5"/>
  <c r="BE129" i="5"/>
  <c r="BD129" i="5"/>
  <c r="BE312" i="5"/>
  <c r="BD312" i="5"/>
  <c r="BD480" i="5"/>
  <c r="BE480" i="5"/>
  <c r="BD205" i="5"/>
  <c r="BE205" i="5"/>
  <c r="BE224" i="5"/>
  <c r="BD224" i="5"/>
  <c r="BD333" i="5"/>
  <c r="BE333" i="5"/>
  <c r="BD37" i="5"/>
  <c r="BE37" i="5"/>
  <c r="BD408" i="5"/>
  <c r="BE408" i="5"/>
  <c r="BD320" i="5"/>
  <c r="BE320" i="5"/>
  <c r="BE343" i="5"/>
  <c r="BD343" i="5"/>
  <c r="BD425" i="5"/>
  <c r="BE425" i="5"/>
  <c r="BD516" i="5"/>
  <c r="BE516" i="5"/>
  <c r="BD520" i="5"/>
  <c r="BE520" i="5"/>
  <c r="BD368" i="5"/>
  <c r="BE368" i="5"/>
  <c r="BD367" i="5"/>
  <c r="BE367" i="5"/>
  <c r="BE435" i="5"/>
  <c r="BD435" i="5"/>
  <c r="BD486" i="5"/>
  <c r="BE486" i="5"/>
  <c r="BE386" i="5"/>
  <c r="BD386" i="5"/>
  <c r="BE468" i="5"/>
  <c r="BD468" i="5"/>
  <c r="BD135" i="5"/>
  <c r="BE135" i="5"/>
  <c r="BD525" i="5"/>
  <c r="BE525" i="5"/>
  <c r="BE228" i="5"/>
  <c r="BD228" i="5"/>
  <c r="BE327" i="5"/>
  <c r="BD327" i="5"/>
  <c r="BD77" i="5"/>
  <c r="BE77" i="5"/>
  <c r="BE349" i="5"/>
  <c r="BD349" i="5"/>
  <c r="BD383" i="5"/>
  <c r="BE383" i="5"/>
  <c r="BD354" i="5"/>
  <c r="BE354" i="5"/>
  <c r="BE490" i="5"/>
  <c r="BD490" i="5"/>
  <c r="BE400" i="5"/>
  <c r="BD400" i="5"/>
  <c r="BD373" i="5"/>
  <c r="BE373" i="5"/>
  <c r="BE99" i="5"/>
  <c r="BD99" i="5"/>
  <c r="BE328" i="5"/>
  <c r="BD328" i="5"/>
  <c r="BE345" i="5"/>
  <c r="BD345" i="5"/>
  <c r="BD203" i="5"/>
  <c r="BE203" i="5"/>
  <c r="BD359" i="5"/>
  <c r="BE359" i="5"/>
  <c r="BD63" i="5"/>
  <c r="BE63" i="5"/>
  <c r="BE419" i="5"/>
  <c r="BD419" i="5"/>
  <c r="BD215" i="5"/>
  <c r="BE215" i="5"/>
  <c r="BD394" i="5"/>
  <c r="BE394" i="5"/>
  <c r="BD418" i="5"/>
  <c r="BE418" i="5"/>
  <c r="BD442" i="5"/>
  <c r="BE442" i="5"/>
  <c r="BE504" i="5"/>
  <c r="BD504" i="5"/>
  <c r="BD381" i="5"/>
  <c r="BE381" i="5"/>
  <c r="BD428" i="5"/>
  <c r="BE428" i="5"/>
  <c r="BE484" i="5"/>
  <c r="BD484" i="5"/>
  <c r="BD452" i="5"/>
  <c r="BE452" i="5"/>
  <c r="BE429" i="5"/>
  <c r="BD429" i="5"/>
  <c r="BE459" i="5"/>
  <c r="BD459" i="5"/>
  <c r="BE388" i="5"/>
  <c r="BD388" i="5"/>
  <c r="BD266" i="5"/>
  <c r="BE266" i="5"/>
  <c r="BD207" i="5"/>
  <c r="BE207" i="5"/>
  <c r="BE319" i="5"/>
  <c r="BD319" i="5"/>
  <c r="BE390" i="5"/>
  <c r="BD390" i="5"/>
  <c r="BD556" i="5"/>
  <c r="BE556" i="5"/>
  <c r="BD218" i="5"/>
  <c r="BE218" i="5"/>
  <c r="AX13" i="5"/>
  <c r="AY13" i="5"/>
  <c r="BE143" i="5"/>
  <c r="BD143" i="5"/>
  <c r="BE146" i="5"/>
  <c r="BD146" i="5"/>
  <c r="BE307" i="5"/>
  <c r="BD307" i="5"/>
  <c r="BD494" i="5"/>
  <c r="BE494" i="5"/>
  <c r="BD538" i="5"/>
  <c r="BE538" i="5"/>
  <c r="BE444" i="5"/>
  <c r="BD444" i="5"/>
  <c r="BE499" i="5"/>
  <c r="BD499" i="5"/>
  <c r="BE342" i="5"/>
  <c r="BD342" i="5"/>
  <c r="BD506" i="5"/>
  <c r="BE506" i="5"/>
  <c r="BD548" i="5"/>
  <c r="BE548" i="5"/>
  <c r="BE456" i="5"/>
  <c r="BD456" i="5"/>
  <c r="BD471" i="5"/>
  <c r="BE471" i="5"/>
  <c r="BD421" i="5"/>
  <c r="BE421" i="5"/>
  <c r="BE297" i="5"/>
  <c r="BD297" i="5"/>
  <c r="BD260" i="5"/>
  <c r="BE260" i="5"/>
  <c r="BE142" i="5"/>
  <c r="BD142" i="5"/>
  <c r="BD512" i="5"/>
  <c r="BE512" i="5"/>
  <c r="BD558" i="5"/>
  <c r="BE558" i="5"/>
  <c r="BE511" i="5"/>
  <c r="BD511" i="5"/>
  <c r="BD200" i="5"/>
  <c r="BE200" i="5"/>
  <c r="BD334" i="5"/>
  <c r="BE334" i="5"/>
  <c r="BD466" i="5"/>
  <c r="BE466" i="5"/>
  <c r="BD522" i="5"/>
  <c r="BE522" i="5"/>
  <c r="BE524" i="5"/>
  <c r="BD524" i="5"/>
  <c r="BD509" i="5"/>
  <c r="BE509" i="5"/>
  <c r="BE485" i="5"/>
  <c r="BD485" i="5"/>
  <c r="BE220" i="5"/>
  <c r="BD220" i="5"/>
  <c r="BD341" i="5"/>
  <c r="BE341" i="5"/>
  <c r="BD321" i="5"/>
  <c r="BE321" i="5"/>
  <c r="BD385" i="5"/>
  <c r="BE385" i="5"/>
  <c r="BD488" i="5"/>
  <c r="BE488" i="5"/>
  <c r="BD398" i="5"/>
  <c r="BE398" i="5"/>
  <c r="BD430" i="5"/>
  <c r="BE430" i="5"/>
  <c r="BD93" i="5"/>
  <c r="BE93" i="5"/>
  <c r="BD519" i="5"/>
  <c r="BE519" i="5"/>
  <c r="BE474" i="5"/>
  <c r="BD474" i="5"/>
  <c r="BE310" i="5"/>
  <c r="BD310" i="5"/>
  <c r="BE357" i="5"/>
  <c r="BD357" i="5"/>
  <c r="AU13" i="5"/>
  <c r="AV13" i="5"/>
  <c r="BC13" i="5"/>
  <c r="BE434" i="5"/>
  <c r="BD434" i="5"/>
  <c r="BE250" i="5"/>
  <c r="BD250" i="5"/>
  <c r="BD336" i="5"/>
  <c r="BE336" i="5"/>
  <c r="BD460" i="5"/>
  <c r="BE460" i="5"/>
  <c r="BE557" i="5"/>
  <c r="BD557" i="5"/>
  <c r="BD542" i="5"/>
  <c r="BE542" i="5"/>
  <c r="BD384" i="5"/>
  <c r="BE384" i="5"/>
  <c r="BE267" i="5"/>
  <c r="BD267" i="5"/>
  <c r="BD179" i="5"/>
  <c r="BE179" i="5"/>
  <c r="BE272" i="5"/>
  <c r="BD272" i="5"/>
  <c r="BE123" i="5"/>
  <c r="BD123" i="5"/>
  <c r="BD87" i="5"/>
  <c r="BE87" i="5"/>
  <c r="BD50" i="5"/>
  <c r="BE50" i="5"/>
  <c r="BE252" i="5"/>
  <c r="BD252" i="5"/>
  <c r="BE311" i="5"/>
  <c r="BD311" i="5"/>
  <c r="BE380" i="5"/>
  <c r="BD380" i="5"/>
  <c r="BD254" i="5"/>
  <c r="BE254" i="5"/>
  <c r="BE399" i="5"/>
  <c r="BD399" i="5"/>
  <c r="BD49" i="5"/>
  <c r="BE49" i="5"/>
  <c r="BE192" i="5"/>
  <c r="BD192" i="5"/>
  <c r="BE350" i="5"/>
  <c r="BD350" i="5"/>
  <c r="BE42" i="5"/>
  <c r="BD42" i="5"/>
  <c r="BE257" i="5"/>
  <c r="BD257" i="5"/>
  <c r="BE366" i="5"/>
  <c r="BD366" i="5"/>
  <c r="BD518" i="5"/>
  <c r="BE518" i="5"/>
  <c r="BE374" i="5"/>
  <c r="BD374" i="5"/>
  <c r="BE378" i="5"/>
  <c r="BD378" i="5"/>
  <c r="BD479" i="5"/>
  <c r="BE479" i="5"/>
  <c r="BE528" i="5"/>
  <c r="BD528" i="5"/>
  <c r="BE498" i="5"/>
  <c r="BD498" i="5"/>
  <c r="BD259" i="5"/>
  <c r="BE259" i="5"/>
  <c r="BE463" i="5"/>
  <c r="BD463" i="5"/>
  <c r="BE510" i="5"/>
  <c r="BD510" i="5"/>
  <c r="BD301" i="5"/>
  <c r="BE301" i="5"/>
  <c r="BE25" i="5"/>
  <c r="BD25" i="5"/>
  <c r="BD325" i="5"/>
  <c r="BE325" i="5"/>
  <c r="BE483" i="5"/>
  <c r="BD483" i="5"/>
  <c r="BE455" i="5"/>
  <c r="BD455" i="5"/>
  <c r="BD196" i="5"/>
  <c r="BE196" i="5"/>
  <c r="BE177" i="5"/>
  <c r="BD177" i="5"/>
  <c r="BE36" i="5"/>
  <c r="BD36" i="5"/>
  <c r="BE102" i="5"/>
  <c r="BD102" i="5"/>
  <c r="BD270" i="5"/>
  <c r="BE270" i="5"/>
  <c r="BD353" i="5"/>
  <c r="BE353" i="5"/>
  <c r="BD204" i="5"/>
  <c r="BE204" i="5"/>
  <c r="BE292" i="5"/>
  <c r="BD292" i="5"/>
  <c r="BD426" i="5"/>
  <c r="BE426" i="5"/>
  <c r="BE482" i="5"/>
  <c r="BD482" i="5"/>
  <c r="BD335" i="5"/>
  <c r="BE335" i="5"/>
  <c r="BD535" i="5"/>
  <c r="BE535" i="5"/>
  <c r="BD395" i="5"/>
  <c r="BE395" i="5"/>
  <c r="BE382" i="5"/>
  <c r="BD382" i="5"/>
  <c r="BE489" i="5"/>
  <c r="BD489" i="5"/>
  <c r="BD534" i="5"/>
  <c r="BE534" i="5"/>
  <c r="BD526" i="5"/>
  <c r="BE526" i="5"/>
  <c r="BD375" i="5"/>
  <c r="BE375" i="5"/>
  <c r="BE173" i="5"/>
  <c r="BD173" i="5"/>
  <c r="BD258" i="5"/>
  <c r="BE258" i="5"/>
  <c r="BE248" i="5"/>
  <c r="BD248" i="5"/>
  <c r="BE508" i="5"/>
  <c r="BD508" i="5"/>
  <c r="BD552" i="5"/>
  <c r="BE552" i="5"/>
  <c r="BD507" i="5"/>
  <c r="BE507" i="5"/>
  <c r="BD422" i="5"/>
  <c r="BE422" i="5"/>
  <c r="BD513" i="5"/>
  <c r="BE513" i="5"/>
  <c r="BE281" i="5"/>
  <c r="BD281" i="5"/>
  <c r="BE54" i="5"/>
  <c r="BD54" i="5"/>
  <c r="BD170" i="5"/>
  <c r="BE170" i="5"/>
  <c r="BD233" i="5"/>
  <c r="BE233" i="5"/>
  <c r="BA13" i="5"/>
  <c r="BB13" i="5"/>
  <c r="BD217" i="5"/>
  <c r="BE217" i="5"/>
  <c r="BD371" i="5"/>
  <c r="BE371" i="5"/>
  <c r="BD79" i="5"/>
  <c r="BE79" i="5"/>
  <c r="BE308" i="5"/>
  <c r="BD308" i="5"/>
  <c r="BE441" i="5"/>
  <c r="BD441" i="5"/>
  <c r="BE458" i="5"/>
  <c r="BD458" i="5"/>
  <c r="BD551" i="5"/>
  <c r="BE551" i="5"/>
  <c r="BD443" i="5"/>
  <c r="BE443" i="5"/>
  <c r="BE540" i="5"/>
  <c r="BD540" i="5"/>
  <c r="BD446" i="5"/>
  <c r="BE446" i="5"/>
  <c r="BD550" i="5"/>
  <c r="BE550" i="5"/>
  <c r="BD404" i="5"/>
  <c r="BE404" i="5"/>
  <c r="BD523" i="5"/>
  <c r="BE523" i="5"/>
  <c r="BE427" i="5"/>
  <c r="BD427" i="5"/>
  <c r="BD216" i="5"/>
  <c r="BE216" i="5"/>
  <c r="BE151" i="5"/>
  <c r="BD151" i="5"/>
  <c r="BD497" i="5"/>
  <c r="BE497" i="5"/>
  <c r="BD454" i="5"/>
  <c r="BE454" i="5"/>
  <c r="BD438" i="5"/>
  <c r="BE438" i="5"/>
  <c r="B49" i="5"/>
  <c r="B52" i="5" s="1"/>
  <c r="B35" i="5"/>
  <c r="B155" i="2"/>
  <c r="B174" i="2"/>
  <c r="B177" i="2" s="1"/>
  <c r="Z7" i="5" s="1"/>
  <c r="B71" i="5"/>
  <c r="B93" i="2"/>
  <c r="O15" i="4"/>
  <c r="B23" i="5"/>
  <c r="B154" i="2"/>
  <c r="B34" i="5"/>
  <c r="J50" i="5"/>
  <c r="B195" i="2"/>
  <c r="BD12" i="5" l="1"/>
  <c r="BD13" i="5"/>
  <c r="BE13" i="5"/>
  <c r="Z350" i="5"/>
  <c r="Z375" i="5"/>
  <c r="Z252" i="5"/>
  <c r="Z353" i="5"/>
  <c r="Z459" i="5"/>
  <c r="Z80" i="5"/>
  <c r="Z308" i="5"/>
  <c r="Z452" i="5"/>
  <c r="Z528" i="5"/>
  <c r="Z246" i="5"/>
  <c r="Z455" i="5"/>
  <c r="Z343" i="5"/>
  <c r="Z211" i="5"/>
  <c r="Z337" i="5"/>
  <c r="Z203" i="5"/>
  <c r="Z406" i="5"/>
  <c r="Z379" i="5"/>
  <c r="Z378" i="5"/>
  <c r="Z511" i="5"/>
  <c r="Z512" i="5"/>
  <c r="Z417" i="5"/>
  <c r="Z34" i="5"/>
  <c r="Z148" i="5"/>
  <c r="Z539" i="5"/>
  <c r="Z554" i="5"/>
  <c r="Z107" i="5"/>
  <c r="Z525" i="5"/>
  <c r="Z170" i="5"/>
  <c r="Z233" i="5"/>
  <c r="Z288" i="5"/>
  <c r="Z199" i="5"/>
  <c r="Z260" i="5"/>
  <c r="Z509" i="5"/>
  <c r="Z510" i="5"/>
  <c r="Z206" i="5"/>
  <c r="Z244" i="5"/>
  <c r="Z376" i="5"/>
  <c r="Z348" i="5"/>
  <c r="Z393" i="5"/>
  <c r="Z31" i="5"/>
  <c r="Z78" i="5"/>
  <c r="Z98" i="5"/>
  <c r="Z467" i="5"/>
  <c r="Z501" i="5"/>
  <c r="Z181" i="5"/>
  <c r="Z435" i="5"/>
  <c r="Z33" i="5"/>
  <c r="Z175" i="5"/>
  <c r="Z259" i="5"/>
  <c r="Z182" i="5"/>
  <c r="Z122" i="5"/>
  <c r="Z405" i="5"/>
  <c r="Z57" i="5"/>
  <c r="Z202" i="5"/>
  <c r="Z87" i="5"/>
  <c r="Z91" i="5"/>
  <c r="Z62" i="5"/>
  <c r="Z543" i="5"/>
  <c r="Z39" i="5"/>
  <c r="Z529" i="5"/>
  <c r="Z490" i="5"/>
  <c r="Z542" i="5"/>
  <c r="Z139" i="5"/>
  <c r="Z401" i="5"/>
  <c r="Z432" i="5"/>
  <c r="Z196" i="5"/>
  <c r="Z515" i="5"/>
  <c r="Z45" i="5"/>
  <c r="Z530" i="5"/>
  <c r="Z431" i="5"/>
  <c r="Z347" i="5"/>
  <c r="Z149" i="5"/>
  <c r="Z278" i="5"/>
  <c r="Z352" i="5"/>
  <c r="Z446" i="5"/>
  <c r="Z264" i="5"/>
  <c r="Z342" i="5"/>
  <c r="Z119" i="5"/>
  <c r="Z229" i="5"/>
  <c r="Z410" i="5"/>
  <c r="Z223" i="5"/>
  <c r="Z13" i="5"/>
  <c r="Z324" i="5"/>
  <c r="Z274" i="5"/>
  <c r="Z88" i="5"/>
  <c r="Z409" i="5"/>
  <c r="Z269" i="5"/>
  <c r="Z460" i="5"/>
  <c r="Z363" i="5"/>
  <c r="Z63" i="5"/>
  <c r="Z422" i="5"/>
  <c r="Z82" i="5"/>
  <c r="Z346" i="5"/>
  <c r="Z414" i="5"/>
  <c r="Z50" i="5"/>
  <c r="Z239" i="5"/>
  <c r="Z486" i="5"/>
  <c r="Z449" i="5"/>
  <c r="Z141" i="5"/>
  <c r="Z257" i="5"/>
  <c r="Z192" i="5"/>
  <c r="Z65" i="5"/>
  <c r="Z332" i="5"/>
  <c r="Z20" i="5"/>
  <c r="Z447" i="5"/>
  <c r="Z222" i="5"/>
  <c r="Z368" i="5"/>
  <c r="Z71" i="5"/>
  <c r="Z549" i="5"/>
  <c r="Z450" i="5"/>
  <c r="Z262" i="5"/>
  <c r="Z232" i="5"/>
  <c r="Z335" i="5"/>
  <c r="Z408" i="5"/>
  <c r="Z152" i="5"/>
  <c r="Z197" i="5"/>
  <c r="Z402" i="5"/>
  <c r="Z169" i="5"/>
  <c r="Z412" i="5"/>
  <c r="Z492" i="5"/>
  <c r="Z299" i="5"/>
  <c r="Z84" i="5"/>
  <c r="Z306" i="5"/>
  <c r="Z331" i="5"/>
  <c r="Z205" i="5"/>
  <c r="Z320" i="5"/>
  <c r="Z275" i="5"/>
  <c r="Z51" i="5"/>
  <c r="Z488" i="5"/>
  <c r="Z317" i="5"/>
  <c r="Z399" i="5"/>
  <c r="Z377" i="5"/>
  <c r="Z241" i="5"/>
  <c r="Z483" i="5"/>
  <c r="Z482" i="5"/>
  <c r="Z436" i="5"/>
  <c r="Z100" i="5"/>
  <c r="Z159" i="5"/>
  <c r="Z386" i="5"/>
  <c r="Z191" i="5"/>
  <c r="Z81" i="5"/>
  <c r="Z8" i="5"/>
  <c r="Z313" i="5"/>
  <c r="Z500" i="5"/>
  <c r="Z312" i="5"/>
  <c r="Z106" i="5"/>
  <c r="Z533" i="5"/>
  <c r="Z68" i="5"/>
  <c r="Z361" i="5"/>
  <c r="Z234" i="5"/>
  <c r="Z296" i="5"/>
  <c r="Z461" i="5"/>
  <c r="Z129" i="5"/>
  <c r="Z24" i="5"/>
  <c r="Z198" i="5"/>
  <c r="Z514" i="5"/>
  <c r="Z218" i="5"/>
  <c r="Z137" i="5"/>
  <c r="Z493" i="5"/>
  <c r="Z283" i="5"/>
  <c r="Z138" i="5"/>
  <c r="Z190" i="5"/>
  <c r="Z280" i="5"/>
  <c r="Z135" i="5"/>
  <c r="Z327" i="5"/>
  <c r="Z184" i="5"/>
  <c r="Z85" i="5"/>
  <c r="Z44" i="5"/>
  <c r="Z322" i="5"/>
  <c r="Z503" i="5"/>
  <c r="Z349" i="5"/>
  <c r="Z89" i="5"/>
  <c r="Z439" i="5"/>
  <c r="Z165" i="5"/>
  <c r="Z64" i="5"/>
  <c r="Z76" i="5"/>
  <c r="Z131" i="5"/>
  <c r="Z522" i="5"/>
  <c r="Z498" i="5"/>
  <c r="Z245" i="5"/>
  <c r="Z163" i="5"/>
  <c r="Z124" i="5"/>
  <c r="Z110" i="5"/>
  <c r="Z95" i="5"/>
  <c r="Z356" i="5"/>
  <c r="Z516" i="5"/>
  <c r="Z25" i="5"/>
  <c r="Z183" i="5"/>
  <c r="Z43" i="5"/>
  <c r="Z161" i="5"/>
  <c r="Z171" i="5"/>
  <c r="Z430" i="5"/>
  <c r="Z484" i="5"/>
  <c r="Z146" i="5"/>
  <c r="Z59" i="5"/>
  <c r="Z237" i="5"/>
  <c r="Z433" i="5"/>
  <c r="Z26" i="5"/>
  <c r="Z415" i="5"/>
  <c r="Z319" i="5"/>
  <c r="Z200" i="5"/>
  <c r="Z336" i="5"/>
  <c r="Z265" i="5"/>
  <c r="Z96" i="5"/>
  <c r="Z365" i="5"/>
  <c r="Z507" i="5"/>
  <c r="Z407" i="5"/>
  <c r="Z448" i="5"/>
  <c r="Z429" i="5"/>
  <c r="Z116" i="5"/>
  <c r="Z315" i="5"/>
  <c r="Z546" i="5"/>
  <c r="Z362" i="5"/>
  <c r="Z187" i="5"/>
  <c r="Z143" i="5"/>
  <c r="Z555" i="5"/>
  <c r="Z473" i="5"/>
  <c r="Z242" i="5"/>
  <c r="Z55" i="5"/>
  <c r="Z35" i="5"/>
  <c r="Z354" i="5"/>
  <c r="Z230" i="5"/>
  <c r="Z506" i="5"/>
  <c r="Z72" i="5"/>
  <c r="Z177" i="5"/>
  <c r="Z77" i="5"/>
  <c r="Z236" i="5"/>
  <c r="Z69" i="5"/>
  <c r="Z487" i="5"/>
  <c r="Z207" i="5"/>
  <c r="Z38" i="5"/>
  <c r="Z193" i="5"/>
  <c r="Z300" i="5"/>
  <c r="Z465" i="5"/>
  <c r="Z445" i="5"/>
  <c r="Z338" i="5"/>
  <c r="Z134" i="5"/>
  <c r="Z395" i="5"/>
  <c r="Z311" i="5"/>
  <c r="Z240" i="5"/>
  <c r="Z537" i="5"/>
  <c r="Z302" i="5"/>
  <c r="Z180" i="5"/>
  <c r="Z79" i="5"/>
  <c r="Z367" i="5"/>
  <c r="Z208" i="5"/>
  <c r="Z373" i="5"/>
  <c r="Z66" i="5"/>
  <c r="Z112" i="5"/>
  <c r="Z22" i="5"/>
  <c r="Z513" i="5"/>
  <c r="Z144" i="5"/>
  <c r="Z505" i="5"/>
  <c r="Z442" i="5"/>
  <c r="Z387" i="5"/>
  <c r="Z470" i="5"/>
  <c r="Z456" i="5"/>
  <c r="Z279" i="5"/>
  <c r="Z351" i="5"/>
  <c r="Z221" i="5"/>
  <c r="Z285" i="5"/>
  <c r="Z127" i="5"/>
  <c r="Z428" i="5"/>
  <c r="Z19" i="5"/>
  <c r="Z215" i="5"/>
  <c r="Z400" i="5"/>
  <c r="Z270" i="5"/>
  <c r="Z518" i="5"/>
  <c r="Z114" i="5"/>
  <c r="Z28" i="5"/>
  <c r="Z287" i="5"/>
  <c r="Z426" i="5"/>
  <c r="Z47" i="5"/>
  <c r="Z325" i="5"/>
  <c r="Z195" i="5"/>
  <c r="Z440" i="5"/>
  <c r="Z130" i="5"/>
  <c r="Z256" i="5"/>
  <c r="Z266" i="5"/>
  <c r="Z204" i="5"/>
  <c r="Z90" i="5"/>
  <c r="Z310" i="5"/>
  <c r="Z118" i="5"/>
  <c r="Z475" i="5"/>
  <c r="Z552" i="5"/>
  <c r="Z380" i="5"/>
  <c r="Z272" i="5"/>
  <c r="Z27" i="5"/>
  <c r="Z186" i="5"/>
  <c r="Z46" i="5"/>
  <c r="Z61" i="5"/>
  <c r="Z471" i="5"/>
  <c r="Z115" i="5"/>
  <c r="Z75" i="5"/>
  <c r="Z369" i="5"/>
  <c r="Z464" i="5"/>
  <c r="Z499" i="5"/>
  <c r="Z247" i="5"/>
  <c r="Z103" i="5"/>
  <c r="Z494" i="5"/>
  <c r="Z23" i="5"/>
  <c r="Z254" i="5"/>
  <c r="Z126" i="5"/>
  <c r="Z480" i="5"/>
  <c r="Z527" i="5"/>
  <c r="Z458" i="5"/>
  <c r="Z168" i="5"/>
  <c r="Z166" i="5"/>
  <c r="Z502" i="5"/>
  <c r="Z521" i="5"/>
  <c r="Z421" i="5"/>
  <c r="Z282" i="5"/>
  <c r="Z496" i="5"/>
  <c r="Z30" i="5"/>
  <c r="Z251" i="5"/>
  <c r="Z179" i="5"/>
  <c r="Z12" i="5"/>
  <c r="Z228" i="5"/>
  <c r="Z290" i="5"/>
  <c r="Z318" i="5"/>
  <c r="Z485" i="5"/>
  <c r="Z476" i="5"/>
  <c r="Z147" i="5"/>
  <c r="Z226" i="5"/>
  <c r="Z142" i="5"/>
  <c r="Z474" i="5"/>
  <c r="Z37" i="5"/>
  <c r="Z457" i="5"/>
  <c r="Z216" i="5"/>
  <c r="Z212" i="5"/>
  <c r="Z227" i="5"/>
  <c r="Z276" i="5"/>
  <c r="Z273" i="5"/>
  <c r="Z321" i="5"/>
  <c r="Z123" i="5"/>
  <c r="Z330" i="5"/>
  <c r="Z172" i="5"/>
  <c r="Z156" i="5"/>
  <c r="Z391" i="5"/>
  <c r="Z94" i="5"/>
  <c r="Z366" i="5"/>
  <c r="Z36" i="5"/>
  <c r="Z292" i="5"/>
  <c r="Z263" i="5"/>
  <c r="Z418" i="5"/>
  <c r="Z547" i="5"/>
  <c r="Z189" i="5"/>
  <c r="Z178" i="5"/>
  <c r="Z536" i="5"/>
  <c r="Z48" i="5"/>
  <c r="Z472" i="5"/>
  <c r="Z504" i="5"/>
  <c r="Z128" i="5"/>
  <c r="Z534" i="5"/>
  <c r="Z86" i="5"/>
  <c r="Z524" i="5"/>
  <c r="Z411" i="5"/>
  <c r="Z413" i="5"/>
  <c r="Z56" i="5"/>
  <c r="Z443" i="5"/>
  <c r="Z531" i="5"/>
  <c r="Z301" i="5"/>
  <c r="Z155" i="5"/>
  <c r="Z104" i="5"/>
  <c r="Z145" i="5"/>
  <c r="Z466" i="5"/>
  <c r="Z167" i="5"/>
  <c r="Z481" i="5"/>
  <c r="Z194" i="5"/>
  <c r="Z517" i="5"/>
  <c r="Z550" i="5"/>
  <c r="Z120" i="5"/>
  <c r="Z111" i="5"/>
  <c r="Z508" i="5"/>
  <c r="Z478" i="5"/>
  <c r="Z303" i="5"/>
  <c r="Z495" i="5"/>
  <c r="Z258" i="5"/>
  <c r="Z437" i="5"/>
  <c r="Z355" i="5"/>
  <c r="Z54" i="5"/>
  <c r="Z339" i="5"/>
  <c r="Z220" i="5"/>
  <c r="Z372" i="5"/>
  <c r="Z390" i="5"/>
  <c r="Z73" i="5"/>
  <c r="Z519" i="5"/>
  <c r="Z374" i="5"/>
  <c r="Z389" i="5"/>
  <c r="Z213" i="5"/>
  <c r="Z117" i="5"/>
  <c r="Z497" i="5"/>
  <c r="Z469" i="5"/>
  <c r="Z326" i="5"/>
  <c r="Z340" i="5"/>
  <c r="Z314" i="5"/>
  <c r="Z333" i="5"/>
  <c r="Z140" i="5"/>
  <c r="Z160" i="5"/>
  <c r="Z97" i="5"/>
  <c r="Z462" i="5"/>
  <c r="Z214" i="5"/>
  <c r="Z551" i="5"/>
  <c r="Z558" i="5"/>
  <c r="Z60" i="5"/>
  <c r="Z523" i="5"/>
  <c r="Z489" i="5"/>
  <c r="Z305" i="5"/>
  <c r="Z491" i="5"/>
  <c r="Z384" i="5"/>
  <c r="Z250" i="5"/>
  <c r="Z291" i="5"/>
  <c r="Z416" i="5"/>
  <c r="Z231" i="5"/>
  <c r="Z158" i="5"/>
  <c r="Z559" i="5"/>
  <c r="Z271" i="5"/>
  <c r="Z370" i="5"/>
  <c r="Z392" i="5"/>
  <c r="Z209" i="5"/>
  <c r="Z438" i="5"/>
  <c r="Z74" i="5"/>
  <c r="Z286" i="5"/>
  <c r="Z267" i="5"/>
  <c r="Z382" i="5"/>
  <c r="Z298" i="5"/>
  <c r="Z268" i="5"/>
  <c r="Z133" i="5"/>
  <c r="Z255" i="5"/>
  <c r="Z540" i="5"/>
  <c r="Z42" i="5"/>
  <c r="Z544" i="5"/>
  <c r="Z92" i="5"/>
  <c r="Z538" i="5"/>
  <c r="Z284" i="5"/>
  <c r="Z553" i="5"/>
  <c r="Z297" i="5"/>
  <c r="Z381" i="5"/>
  <c r="Z70" i="5"/>
  <c r="Z217" i="5"/>
  <c r="Z403" i="5"/>
  <c r="Z328" i="5"/>
  <c r="Z294" i="5"/>
  <c r="Z309" i="5"/>
  <c r="Z53" i="5"/>
  <c r="Z235" i="5"/>
  <c r="Z423" i="5"/>
  <c r="Z125" i="5"/>
  <c r="Z93" i="5"/>
  <c r="Z261" i="5"/>
  <c r="Z541" i="5"/>
  <c r="Z40" i="5"/>
  <c r="Z434" i="5"/>
  <c r="Z151" i="5"/>
  <c r="Z396" i="5"/>
  <c r="Z238" i="5"/>
  <c r="Z424" i="5"/>
  <c r="Z477" i="5"/>
  <c r="Z32" i="5"/>
  <c r="Z548" i="5"/>
  <c r="Z52" i="5"/>
  <c r="Z83" i="5"/>
  <c r="Z113" i="5"/>
  <c r="Z468" i="5"/>
  <c r="Z535" i="5"/>
  <c r="Z295" i="5"/>
  <c r="Z307" i="5"/>
  <c r="Z121" i="5"/>
  <c r="Z526" i="5"/>
  <c r="Z532" i="5"/>
  <c r="Z108" i="5"/>
  <c r="Z316" i="5"/>
  <c r="Z277" i="5"/>
  <c r="Z29" i="5"/>
  <c r="Z173" i="5"/>
  <c r="Z364" i="5"/>
  <c r="Z334" i="5"/>
  <c r="Z58" i="5"/>
  <c r="Z176" i="5"/>
  <c r="Z358" i="5"/>
  <c r="Z359" i="5"/>
  <c r="Z360" i="5"/>
  <c r="Z394" i="5"/>
  <c r="Z109" i="5"/>
  <c r="Z132" i="5"/>
  <c r="Z174" i="5"/>
  <c r="Z224" i="5"/>
  <c r="Z463" i="5"/>
  <c r="Z154" i="5"/>
  <c r="Z545" i="5"/>
  <c r="Z479" i="5"/>
  <c r="Z397" i="5"/>
  <c r="Z404" i="5"/>
  <c r="Z425" i="5"/>
  <c r="Z153" i="5"/>
  <c r="Z560" i="5"/>
  <c r="Z329" i="5"/>
  <c r="Z105" i="5"/>
  <c r="Z383" i="5"/>
  <c r="Z253" i="5"/>
  <c r="Z21" i="5"/>
  <c r="Z398" i="5"/>
  <c r="Z201" i="5"/>
  <c r="Z102" i="5"/>
  <c r="Z427" i="5"/>
  <c r="Z185" i="5"/>
  <c r="Z49" i="5"/>
  <c r="Z188" i="5"/>
  <c r="Z341" i="5"/>
  <c r="Z293" i="5"/>
  <c r="Z210" i="5"/>
  <c r="Z225" i="5"/>
  <c r="Z219" i="5"/>
  <c r="Z101" i="5"/>
  <c r="Z157" i="5"/>
  <c r="Z289" i="5"/>
  <c r="Z249" i="5"/>
  <c r="Z150" i="5"/>
  <c r="Z136" i="5"/>
  <c r="Z557" i="5"/>
  <c r="Z419" i="5"/>
  <c r="Z164" i="5"/>
  <c r="Z99" i="5"/>
  <c r="Z162" i="5"/>
  <c r="Z453" i="5"/>
  <c r="Z371" i="5"/>
  <c r="Z323" i="5"/>
  <c r="Z520" i="5"/>
  <c r="Z248" i="5"/>
  <c r="Z344" i="5"/>
  <c r="Z385" i="5"/>
  <c r="Z345" i="5"/>
  <c r="Z281" i="5"/>
  <c r="Z67" i="5"/>
  <c r="Z444" i="5"/>
  <c r="Z388" i="5"/>
  <c r="Z454" i="5"/>
  <c r="Z441" i="5"/>
  <c r="Z451" i="5"/>
  <c r="Z420" i="5"/>
  <c r="Z304" i="5"/>
  <c r="Z556" i="5"/>
  <c r="Z243" i="5"/>
  <c r="Z41" i="5"/>
  <c r="Z357" i="5"/>
  <c r="AB7" i="5"/>
  <c r="AA7" i="5"/>
  <c r="AB357" i="5" l="1"/>
  <c r="AA357" i="5"/>
  <c r="AA304" i="5"/>
  <c r="AB304" i="5"/>
  <c r="AB454" i="5"/>
  <c r="AA454" i="5"/>
  <c r="AA281" i="5"/>
  <c r="AB281" i="5"/>
  <c r="AB248" i="5"/>
  <c r="AA248" i="5"/>
  <c r="AB453" i="5"/>
  <c r="AA453" i="5"/>
  <c r="AB419" i="5"/>
  <c r="AA419" i="5"/>
  <c r="AB249" i="5"/>
  <c r="AA249" i="5"/>
  <c r="AB219" i="5"/>
  <c r="AA219" i="5"/>
  <c r="AB341" i="5"/>
  <c r="AA341" i="5"/>
  <c r="AB427" i="5"/>
  <c r="AA427" i="5"/>
  <c r="AA21" i="5"/>
  <c r="AB21" i="5"/>
  <c r="AA329" i="5"/>
  <c r="AB329" i="5"/>
  <c r="AB404" i="5"/>
  <c r="AA404" i="5"/>
  <c r="AB154" i="5"/>
  <c r="AA154" i="5"/>
  <c r="AB132" i="5"/>
  <c r="AA132" i="5"/>
  <c r="AB359" i="5"/>
  <c r="AA359" i="5"/>
  <c r="AB334" i="5"/>
  <c r="AA334" i="5"/>
  <c r="AA277" i="5"/>
  <c r="AB277" i="5"/>
  <c r="AA526" i="5"/>
  <c r="AB526" i="5"/>
  <c r="AB535" i="5"/>
  <c r="AA535" i="5"/>
  <c r="AB52" i="5"/>
  <c r="AA52" i="5"/>
  <c r="AB424" i="5"/>
  <c r="AA424" i="5"/>
  <c r="AA434" i="5"/>
  <c r="AB434" i="5"/>
  <c r="AB93" i="5"/>
  <c r="AA93" i="5"/>
  <c r="AB53" i="5"/>
  <c r="AA53" i="5"/>
  <c r="AA403" i="5"/>
  <c r="AB403" i="5"/>
  <c r="AA297" i="5"/>
  <c r="AB297" i="5"/>
  <c r="AA92" i="5"/>
  <c r="AB92" i="5"/>
  <c r="AA255" i="5"/>
  <c r="AB255" i="5"/>
  <c r="AA382" i="5"/>
  <c r="AB382" i="5"/>
  <c r="AA438" i="5"/>
  <c r="AB438" i="5"/>
  <c r="AA271" i="5"/>
  <c r="AB271" i="5"/>
  <c r="AA416" i="5"/>
  <c r="AB416" i="5"/>
  <c r="AA491" i="5"/>
  <c r="AB491" i="5"/>
  <c r="AB60" i="5"/>
  <c r="AA60" i="5"/>
  <c r="AA462" i="5"/>
  <c r="AB462" i="5"/>
  <c r="AA333" i="5"/>
  <c r="AB333" i="5"/>
  <c r="AB469" i="5"/>
  <c r="AA469" i="5"/>
  <c r="AA389" i="5"/>
  <c r="AB389" i="5"/>
  <c r="AA390" i="5"/>
  <c r="AB390" i="5"/>
  <c r="AA54" i="5"/>
  <c r="AB54" i="5"/>
  <c r="AA495" i="5"/>
  <c r="AB495" i="5"/>
  <c r="AB111" i="5"/>
  <c r="AA111" i="5"/>
  <c r="AB194" i="5"/>
  <c r="AA194" i="5"/>
  <c r="AB145" i="5"/>
  <c r="AA145" i="5"/>
  <c r="AA531" i="5"/>
  <c r="AB531" i="5"/>
  <c r="AA411" i="5"/>
  <c r="AB411" i="5"/>
  <c r="AB128" i="5"/>
  <c r="AA128" i="5"/>
  <c r="AB536" i="5"/>
  <c r="AA536" i="5"/>
  <c r="AB418" i="5"/>
  <c r="AA418" i="5"/>
  <c r="AB366" i="5"/>
  <c r="AA366" i="5"/>
  <c r="AA172" i="5"/>
  <c r="AB172" i="5"/>
  <c r="AA273" i="5"/>
  <c r="AB273" i="5"/>
  <c r="AA216" i="5"/>
  <c r="AB216" i="5"/>
  <c r="AB142" i="5"/>
  <c r="AA142" i="5"/>
  <c r="AA485" i="5"/>
  <c r="AB485" i="5"/>
  <c r="AB12" i="5"/>
  <c r="AA12" i="5"/>
  <c r="AB496" i="5"/>
  <c r="AA496" i="5"/>
  <c r="AA502" i="5"/>
  <c r="AB502" i="5"/>
  <c r="AA527" i="5"/>
  <c r="AB527" i="5"/>
  <c r="AA23" i="5"/>
  <c r="AB23" i="5"/>
  <c r="AB499" i="5"/>
  <c r="AA499" i="5"/>
  <c r="AA115" i="5"/>
  <c r="AB115" i="5"/>
  <c r="AA186" i="5"/>
  <c r="AB186" i="5"/>
  <c r="AB552" i="5"/>
  <c r="AA552" i="5"/>
  <c r="AA90" i="5"/>
  <c r="AB90" i="5"/>
  <c r="AB130" i="5"/>
  <c r="AA130" i="5"/>
  <c r="AA47" i="5"/>
  <c r="AB47" i="5"/>
  <c r="AA114" i="5"/>
  <c r="AB114" i="5"/>
  <c r="AA215" i="5"/>
  <c r="AB215" i="5"/>
  <c r="AA285" i="5"/>
  <c r="AB285" i="5"/>
  <c r="AA456" i="5"/>
  <c r="AB456" i="5"/>
  <c r="AA505" i="5"/>
  <c r="AB505" i="5"/>
  <c r="AB112" i="5"/>
  <c r="AA112" i="5"/>
  <c r="AB367" i="5"/>
  <c r="AA367" i="5"/>
  <c r="AA537" i="5"/>
  <c r="AB537" i="5"/>
  <c r="AA134" i="5"/>
  <c r="AB134" i="5"/>
  <c r="AB300" i="5"/>
  <c r="AA300" i="5"/>
  <c r="AB487" i="5"/>
  <c r="AA487" i="5"/>
  <c r="AB77" i="5"/>
  <c r="AA77" i="5"/>
  <c r="AA230" i="5"/>
  <c r="AB230" i="5"/>
  <c r="AB242" i="5"/>
  <c r="AA242" i="5"/>
  <c r="AA187" i="5"/>
  <c r="AB187" i="5"/>
  <c r="AA116" i="5"/>
  <c r="AB116" i="5"/>
  <c r="AA507" i="5"/>
  <c r="AB507" i="5"/>
  <c r="AB336" i="5"/>
  <c r="AA336" i="5"/>
  <c r="AA26" i="5"/>
  <c r="AB26" i="5"/>
  <c r="AA146" i="5"/>
  <c r="AB146" i="5"/>
  <c r="AB161" i="5"/>
  <c r="AA161" i="5"/>
  <c r="AA516" i="5"/>
  <c r="AB516" i="5"/>
  <c r="AA124" i="5"/>
  <c r="AB124" i="5"/>
  <c r="AA522" i="5"/>
  <c r="AB522" i="5"/>
  <c r="AB165" i="5"/>
  <c r="AA165" i="5"/>
  <c r="AB503" i="5"/>
  <c r="AA503" i="5"/>
  <c r="AA184" i="5"/>
  <c r="AB184" i="5"/>
  <c r="AB190" i="5"/>
  <c r="AA190" i="5"/>
  <c r="AA137" i="5"/>
  <c r="AB137" i="5"/>
  <c r="AA24" i="5"/>
  <c r="AB24" i="5"/>
  <c r="AB234" i="5"/>
  <c r="AA234" i="5"/>
  <c r="AA106" i="5"/>
  <c r="AB106" i="5"/>
  <c r="AB8" i="5"/>
  <c r="AA8" i="5"/>
  <c r="AB159" i="5"/>
  <c r="AA159" i="5"/>
  <c r="AB483" i="5"/>
  <c r="AA483" i="5"/>
  <c r="AA317" i="5"/>
  <c r="AB317" i="5"/>
  <c r="AB320" i="5"/>
  <c r="AA320" i="5"/>
  <c r="AB84" i="5"/>
  <c r="AA84" i="5"/>
  <c r="AA169" i="5"/>
  <c r="AB169" i="5"/>
  <c r="AA408" i="5"/>
  <c r="AB408" i="5"/>
  <c r="AA450" i="5"/>
  <c r="AB450" i="5"/>
  <c r="AA222" i="5"/>
  <c r="AB222" i="5"/>
  <c r="AB65" i="5"/>
  <c r="AA65" i="5"/>
  <c r="AA449" i="5"/>
  <c r="AB449" i="5"/>
  <c r="AA414" i="5"/>
  <c r="AB414" i="5"/>
  <c r="AB63" i="5"/>
  <c r="AA63" i="5"/>
  <c r="AB409" i="5"/>
  <c r="AA409" i="5"/>
  <c r="AA13" i="5"/>
  <c r="AB13" i="5"/>
  <c r="AA119" i="5"/>
  <c r="AB119" i="5"/>
  <c r="AB352" i="5"/>
  <c r="AA352" i="5"/>
  <c r="AA431" i="5"/>
  <c r="AB431" i="5"/>
  <c r="AB196" i="5"/>
  <c r="AA196" i="5"/>
  <c r="AB542" i="5"/>
  <c r="AA542" i="5"/>
  <c r="AB543" i="5"/>
  <c r="AA543" i="5"/>
  <c r="AA202" i="5"/>
  <c r="AB202" i="5"/>
  <c r="AB182" i="5"/>
  <c r="AA182" i="5"/>
  <c r="AA435" i="5"/>
  <c r="AB435" i="5"/>
  <c r="AA98" i="5"/>
  <c r="AB98" i="5"/>
  <c r="AB348" i="5"/>
  <c r="AA348" i="5"/>
  <c r="AB510" i="5"/>
  <c r="AA510" i="5"/>
  <c r="AA288" i="5"/>
  <c r="AB288" i="5"/>
  <c r="AB107" i="5"/>
  <c r="AA107" i="5"/>
  <c r="AA34" i="5"/>
  <c r="AB34" i="5"/>
  <c r="AA378" i="5"/>
  <c r="AB378" i="5"/>
  <c r="AA337" i="5"/>
  <c r="AB337" i="5"/>
  <c r="AA246" i="5"/>
  <c r="AB246" i="5"/>
  <c r="AA80" i="5"/>
  <c r="AB80" i="5"/>
  <c r="AB375" i="5"/>
  <c r="AA375" i="5"/>
  <c r="AA41" i="5"/>
  <c r="AB41" i="5"/>
  <c r="AB420" i="5"/>
  <c r="AA420" i="5"/>
  <c r="AB388" i="5"/>
  <c r="AA388" i="5"/>
  <c r="AB345" i="5"/>
  <c r="AA345" i="5"/>
  <c r="AA520" i="5"/>
  <c r="AB520" i="5"/>
  <c r="AA162" i="5"/>
  <c r="AB162" i="5"/>
  <c r="AA557" i="5"/>
  <c r="AB557" i="5"/>
  <c r="AB289" i="5"/>
  <c r="AA289" i="5"/>
  <c r="AB225" i="5"/>
  <c r="AA225" i="5"/>
  <c r="AB188" i="5"/>
  <c r="AA188" i="5"/>
  <c r="AA102" i="5"/>
  <c r="AB102" i="5"/>
  <c r="AB253" i="5"/>
  <c r="AA253" i="5"/>
  <c r="AB560" i="5"/>
  <c r="AA560" i="5"/>
  <c r="AA397" i="5"/>
  <c r="AB397" i="5"/>
  <c r="AB463" i="5"/>
  <c r="AA463" i="5"/>
  <c r="AB109" i="5"/>
  <c r="AA109" i="5"/>
  <c r="AB358" i="5"/>
  <c r="AA358" i="5"/>
  <c r="AA364" i="5"/>
  <c r="AB364" i="5"/>
  <c r="AA316" i="5"/>
  <c r="AB316" i="5"/>
  <c r="AA121" i="5"/>
  <c r="AB121" i="5"/>
  <c r="AA468" i="5"/>
  <c r="AB468" i="5"/>
  <c r="AB548" i="5"/>
  <c r="AA548" i="5"/>
  <c r="AB238" i="5"/>
  <c r="AA238" i="5"/>
  <c r="AB40" i="5"/>
  <c r="AA40" i="5"/>
  <c r="AA125" i="5"/>
  <c r="AB125" i="5"/>
  <c r="AB309" i="5"/>
  <c r="AA309" i="5"/>
  <c r="AB217" i="5"/>
  <c r="AA217" i="5"/>
  <c r="AA553" i="5"/>
  <c r="AB553" i="5"/>
  <c r="AB544" i="5"/>
  <c r="AA544" i="5"/>
  <c r="AA133" i="5"/>
  <c r="AB133" i="5"/>
  <c r="AA267" i="5"/>
  <c r="AB267" i="5"/>
  <c r="AB209" i="5"/>
  <c r="AA209" i="5"/>
  <c r="AA559" i="5"/>
  <c r="AB559" i="5"/>
  <c r="AB291" i="5"/>
  <c r="AA291" i="5"/>
  <c r="AA305" i="5"/>
  <c r="AB305" i="5"/>
  <c r="AB558" i="5"/>
  <c r="AA558" i="5"/>
  <c r="AB97" i="5"/>
  <c r="AA97" i="5"/>
  <c r="AA314" i="5"/>
  <c r="AB314" i="5"/>
  <c r="AB497" i="5"/>
  <c r="AA497" i="5"/>
  <c r="AB374" i="5"/>
  <c r="AA374" i="5"/>
  <c r="AB372" i="5"/>
  <c r="AA372" i="5"/>
  <c r="AA355" i="5"/>
  <c r="AB355" i="5"/>
  <c r="AB303" i="5"/>
  <c r="AA303" i="5"/>
  <c r="AA120" i="5"/>
  <c r="AB120" i="5"/>
  <c r="AB481" i="5"/>
  <c r="AA481" i="5"/>
  <c r="AA104" i="5"/>
  <c r="AB104" i="5"/>
  <c r="AB443" i="5"/>
  <c r="AA443" i="5"/>
  <c r="AA524" i="5"/>
  <c r="AB524" i="5"/>
  <c r="AB504" i="5"/>
  <c r="AA504" i="5"/>
  <c r="AA178" i="5"/>
  <c r="AB178" i="5"/>
  <c r="AB263" i="5"/>
  <c r="AA263" i="5"/>
  <c r="AA94" i="5"/>
  <c r="AB94" i="5"/>
  <c r="AA330" i="5"/>
  <c r="AB330" i="5"/>
  <c r="AB276" i="5"/>
  <c r="AA276" i="5"/>
  <c r="AB457" i="5"/>
  <c r="AA457" i="5"/>
  <c r="AB226" i="5"/>
  <c r="AA226" i="5"/>
  <c r="AA318" i="5"/>
  <c r="AB318" i="5"/>
  <c r="AB179" i="5"/>
  <c r="AA179" i="5"/>
  <c r="AA282" i="5"/>
  <c r="AB282" i="5"/>
  <c r="AB166" i="5"/>
  <c r="AA166" i="5"/>
  <c r="AA480" i="5"/>
  <c r="AB480" i="5"/>
  <c r="AB494" i="5"/>
  <c r="AA494" i="5"/>
  <c r="AA464" i="5"/>
  <c r="AB464" i="5"/>
  <c r="AA471" i="5"/>
  <c r="AB471" i="5"/>
  <c r="AA27" i="5"/>
  <c r="AB27" i="5"/>
  <c r="AB475" i="5"/>
  <c r="AA475" i="5"/>
  <c r="AB204" i="5"/>
  <c r="AA204" i="5"/>
  <c r="AA440" i="5"/>
  <c r="AB440" i="5"/>
  <c r="AB426" i="5"/>
  <c r="AA426" i="5"/>
  <c r="AA518" i="5"/>
  <c r="AB518" i="5"/>
  <c r="AA19" i="5"/>
  <c r="AB19" i="5"/>
  <c r="AB221" i="5"/>
  <c r="AA221" i="5"/>
  <c r="AA470" i="5"/>
  <c r="AB470" i="5"/>
  <c r="AA144" i="5"/>
  <c r="AB144" i="5"/>
  <c r="AA66" i="5"/>
  <c r="AB66" i="5"/>
  <c r="AA79" i="5"/>
  <c r="AB79" i="5"/>
  <c r="AB240" i="5"/>
  <c r="AA240" i="5"/>
  <c r="AB338" i="5"/>
  <c r="AA338" i="5"/>
  <c r="AB193" i="5"/>
  <c r="AA193" i="5"/>
  <c r="AA177" i="5"/>
  <c r="AB177" i="5"/>
  <c r="AA354" i="5"/>
  <c r="AB354" i="5"/>
  <c r="AB473" i="5"/>
  <c r="AA473" i="5"/>
  <c r="AB362" i="5"/>
  <c r="AA362" i="5"/>
  <c r="AA429" i="5"/>
  <c r="AB429" i="5"/>
  <c r="AB365" i="5"/>
  <c r="AA365" i="5"/>
  <c r="AB200" i="5"/>
  <c r="AA200" i="5"/>
  <c r="AB433" i="5"/>
  <c r="AA433" i="5"/>
  <c r="AB484" i="5"/>
  <c r="AA484" i="5"/>
  <c r="AB43" i="5"/>
  <c r="AA43" i="5"/>
  <c r="AA356" i="5"/>
  <c r="AB356" i="5"/>
  <c r="AA163" i="5"/>
  <c r="AB163" i="5"/>
  <c r="AA131" i="5"/>
  <c r="AB131" i="5"/>
  <c r="AA439" i="5"/>
  <c r="AB439" i="5"/>
  <c r="AA322" i="5"/>
  <c r="AB322" i="5"/>
  <c r="AA327" i="5"/>
  <c r="AB327" i="5"/>
  <c r="AA138" i="5"/>
  <c r="AB138" i="5"/>
  <c r="AB218" i="5"/>
  <c r="AA218" i="5"/>
  <c r="AB129" i="5"/>
  <c r="AA129" i="5"/>
  <c r="AA361" i="5"/>
  <c r="AB361" i="5"/>
  <c r="AA312" i="5"/>
  <c r="AB312" i="5"/>
  <c r="AA81" i="5"/>
  <c r="AB81" i="5"/>
  <c r="AA100" i="5"/>
  <c r="AB100" i="5"/>
  <c r="AA241" i="5"/>
  <c r="AB241" i="5"/>
  <c r="AB488" i="5"/>
  <c r="AA488" i="5"/>
  <c r="AB205" i="5"/>
  <c r="AA205" i="5"/>
  <c r="AB299" i="5"/>
  <c r="AA299" i="5"/>
  <c r="AB402" i="5"/>
  <c r="AA402" i="5"/>
  <c r="AA335" i="5"/>
  <c r="AB335" i="5"/>
  <c r="AB549" i="5"/>
  <c r="AA549" i="5"/>
  <c r="AB447" i="5"/>
  <c r="AA447" i="5"/>
  <c r="AA192" i="5"/>
  <c r="AB192" i="5"/>
  <c r="AB486" i="5"/>
  <c r="AA486" i="5"/>
  <c r="AA346" i="5"/>
  <c r="AB346" i="5"/>
  <c r="AA363" i="5"/>
  <c r="AB363" i="5"/>
  <c r="AB88" i="5"/>
  <c r="AA88" i="5"/>
  <c r="AB223" i="5"/>
  <c r="AA223" i="5"/>
  <c r="AA342" i="5"/>
  <c r="AB342" i="5"/>
  <c r="AB278" i="5"/>
  <c r="AA278" i="5"/>
  <c r="AA530" i="5"/>
  <c r="AB530" i="5"/>
  <c r="AB432" i="5"/>
  <c r="AA432" i="5"/>
  <c r="AA490" i="5"/>
  <c r="AB490" i="5"/>
  <c r="AB62" i="5"/>
  <c r="AA62" i="5"/>
  <c r="AA57" i="5"/>
  <c r="AB57" i="5"/>
  <c r="AB259" i="5"/>
  <c r="AA259" i="5"/>
  <c r="AA181" i="5"/>
  <c r="AB181" i="5"/>
  <c r="AA78" i="5"/>
  <c r="AB78" i="5"/>
  <c r="AA376" i="5"/>
  <c r="AB376" i="5"/>
  <c r="AA509" i="5"/>
  <c r="AB509" i="5"/>
  <c r="AA233" i="5"/>
  <c r="AB233" i="5"/>
  <c r="AA554" i="5"/>
  <c r="AB554" i="5"/>
  <c r="AA417" i="5"/>
  <c r="AB417" i="5"/>
  <c r="AB379" i="5"/>
  <c r="AA379" i="5"/>
  <c r="AB211" i="5"/>
  <c r="AA211" i="5"/>
  <c r="AB528" i="5"/>
  <c r="AA528" i="5"/>
  <c r="AA459" i="5"/>
  <c r="AB459" i="5"/>
  <c r="AB350" i="5"/>
  <c r="AA350" i="5"/>
  <c r="AA243" i="5"/>
  <c r="AB243" i="5"/>
  <c r="AB451" i="5"/>
  <c r="AA451" i="5"/>
  <c r="AA444" i="5"/>
  <c r="AB444" i="5"/>
  <c r="AB385" i="5"/>
  <c r="AA385" i="5"/>
  <c r="AA323" i="5"/>
  <c r="AB323" i="5"/>
  <c r="AA99" i="5"/>
  <c r="AB99" i="5"/>
  <c r="AB136" i="5"/>
  <c r="AA136" i="5"/>
  <c r="AA157" i="5"/>
  <c r="AB157" i="5"/>
  <c r="AB210" i="5"/>
  <c r="AA210" i="5"/>
  <c r="AB49" i="5"/>
  <c r="AA49" i="5"/>
  <c r="AB201" i="5"/>
  <c r="AA201" i="5"/>
  <c r="AB383" i="5"/>
  <c r="AA383" i="5"/>
  <c r="AA153" i="5"/>
  <c r="AB153" i="5"/>
  <c r="AB479" i="5"/>
  <c r="AA479" i="5"/>
  <c r="AB224" i="5"/>
  <c r="AA224" i="5"/>
  <c r="AB394" i="5"/>
  <c r="AA394" i="5"/>
  <c r="AB176" i="5"/>
  <c r="AA176" i="5"/>
  <c r="AB173" i="5"/>
  <c r="AA173" i="5"/>
  <c r="AB108" i="5"/>
  <c r="AA108" i="5"/>
  <c r="AA307" i="5"/>
  <c r="AB307" i="5"/>
  <c r="AA113" i="5"/>
  <c r="AB113" i="5"/>
  <c r="AB32" i="5"/>
  <c r="AA32" i="5"/>
  <c r="AB396" i="5"/>
  <c r="AA396" i="5"/>
  <c r="AA541" i="5"/>
  <c r="AB541" i="5"/>
  <c r="AA423" i="5"/>
  <c r="AB423" i="5"/>
  <c r="AB294" i="5"/>
  <c r="AA294" i="5"/>
  <c r="AB70" i="5"/>
  <c r="AA70" i="5"/>
  <c r="AB284" i="5"/>
  <c r="AA284" i="5"/>
  <c r="AB42" i="5"/>
  <c r="AA42" i="5"/>
  <c r="AA268" i="5"/>
  <c r="AB268" i="5"/>
  <c r="AB286" i="5"/>
  <c r="AA286" i="5"/>
  <c r="AB392" i="5"/>
  <c r="AA392" i="5"/>
  <c r="AA158" i="5"/>
  <c r="AB158" i="5"/>
  <c r="AB250" i="5"/>
  <c r="AA250" i="5"/>
  <c r="AA489" i="5"/>
  <c r="AB489" i="5"/>
  <c r="AA551" i="5"/>
  <c r="AB551" i="5"/>
  <c r="AA160" i="5"/>
  <c r="AB160" i="5"/>
  <c r="AB340" i="5"/>
  <c r="AA340" i="5"/>
  <c r="AB117" i="5"/>
  <c r="AA117" i="5"/>
  <c r="AB519" i="5"/>
  <c r="AA519" i="5"/>
  <c r="AA220" i="5"/>
  <c r="AB220" i="5"/>
  <c r="AB437" i="5"/>
  <c r="AA437" i="5"/>
  <c r="AA478" i="5"/>
  <c r="AB478" i="5"/>
  <c r="AA550" i="5"/>
  <c r="AB550" i="5"/>
  <c r="AB167" i="5"/>
  <c r="AA167" i="5"/>
  <c r="AB155" i="5"/>
  <c r="AA155" i="5"/>
  <c r="AA56" i="5"/>
  <c r="AB56" i="5"/>
  <c r="AA86" i="5"/>
  <c r="AB86" i="5"/>
  <c r="AA472" i="5"/>
  <c r="AB472" i="5"/>
  <c r="AB189" i="5"/>
  <c r="AA189" i="5"/>
  <c r="AA292" i="5"/>
  <c r="AB292" i="5"/>
  <c r="AB391" i="5"/>
  <c r="AA391" i="5"/>
  <c r="AB123" i="5"/>
  <c r="AA123" i="5"/>
  <c r="AA227" i="5"/>
  <c r="AB227" i="5"/>
  <c r="AB37" i="5"/>
  <c r="AA37" i="5"/>
  <c r="AB147" i="5"/>
  <c r="AA147" i="5"/>
  <c r="AB290" i="5"/>
  <c r="AA290" i="5"/>
  <c r="AB251" i="5"/>
  <c r="AA251" i="5"/>
  <c r="AB421" i="5"/>
  <c r="AA421" i="5"/>
  <c r="AA168" i="5"/>
  <c r="AB168" i="5"/>
  <c r="AA126" i="5"/>
  <c r="AB126" i="5"/>
  <c r="AA103" i="5"/>
  <c r="AB103" i="5"/>
  <c r="AB369" i="5"/>
  <c r="AA369" i="5"/>
  <c r="AA61" i="5"/>
  <c r="AB61" i="5"/>
  <c r="AB272" i="5"/>
  <c r="AA272" i="5"/>
  <c r="AA118" i="5"/>
  <c r="AB118" i="5"/>
  <c r="AA266" i="5"/>
  <c r="AB266" i="5"/>
  <c r="AB195" i="5"/>
  <c r="AA195" i="5"/>
  <c r="AA287" i="5"/>
  <c r="AB287" i="5"/>
  <c r="AB270" i="5"/>
  <c r="AA270" i="5"/>
  <c r="AA428" i="5"/>
  <c r="AB428" i="5"/>
  <c r="AB351" i="5"/>
  <c r="AA351" i="5"/>
  <c r="AA387" i="5"/>
  <c r="AB387" i="5"/>
  <c r="AB513" i="5"/>
  <c r="AA513" i="5"/>
  <c r="AA373" i="5"/>
  <c r="AB373" i="5"/>
  <c r="AA180" i="5"/>
  <c r="AB180" i="5"/>
  <c r="AB311" i="5"/>
  <c r="AA311" i="5"/>
  <c r="AA445" i="5"/>
  <c r="AB445" i="5"/>
  <c r="AA38" i="5"/>
  <c r="AB38" i="5"/>
  <c r="AB69" i="5"/>
  <c r="AA69" i="5"/>
  <c r="AA72" i="5"/>
  <c r="AB72" i="5"/>
  <c r="AA35" i="5"/>
  <c r="AB35" i="5"/>
  <c r="AB555" i="5"/>
  <c r="AA555" i="5"/>
  <c r="AA546" i="5"/>
  <c r="AB546" i="5"/>
  <c r="AA448" i="5"/>
  <c r="AB448" i="5"/>
  <c r="AB96" i="5"/>
  <c r="AA96" i="5"/>
  <c r="AB319" i="5"/>
  <c r="AA319" i="5"/>
  <c r="AA237" i="5"/>
  <c r="AB237" i="5"/>
  <c r="AA430" i="5"/>
  <c r="AB430" i="5"/>
  <c r="AB183" i="5"/>
  <c r="AA183" i="5"/>
  <c r="AA95" i="5"/>
  <c r="AB95" i="5"/>
  <c r="AA245" i="5"/>
  <c r="AB245" i="5"/>
  <c r="AA76" i="5"/>
  <c r="AB76" i="5"/>
  <c r="AB89" i="5"/>
  <c r="AA89" i="5"/>
  <c r="AB44" i="5"/>
  <c r="AA44" i="5"/>
  <c r="AB135" i="5"/>
  <c r="AA135" i="5"/>
  <c r="AB283" i="5"/>
  <c r="AA283" i="5"/>
  <c r="AB514" i="5"/>
  <c r="AA514" i="5"/>
  <c r="AA461" i="5"/>
  <c r="AB461" i="5"/>
  <c r="AB68" i="5"/>
  <c r="AA68" i="5"/>
  <c r="AA500" i="5"/>
  <c r="AB500" i="5"/>
  <c r="AA191" i="5"/>
  <c r="AB191" i="5"/>
  <c r="AA436" i="5"/>
  <c r="AB436" i="5"/>
  <c r="AA377" i="5"/>
  <c r="AB377" i="5"/>
  <c r="AB51" i="5"/>
  <c r="AA51" i="5"/>
  <c r="AA331" i="5"/>
  <c r="AB331" i="5"/>
  <c r="AA492" i="5"/>
  <c r="AB492" i="5"/>
  <c r="AB197" i="5"/>
  <c r="AA197" i="5"/>
  <c r="AA232" i="5"/>
  <c r="AB232" i="5"/>
  <c r="AB71" i="5"/>
  <c r="AA71" i="5"/>
  <c r="AB20" i="5"/>
  <c r="AA20" i="5"/>
  <c r="AA257" i="5"/>
  <c r="AB257" i="5"/>
  <c r="AA239" i="5"/>
  <c r="AB239" i="5"/>
  <c r="AA82" i="5"/>
  <c r="AB82" i="5"/>
  <c r="AB460" i="5"/>
  <c r="AA460" i="5"/>
  <c r="AB274" i="5"/>
  <c r="AA274" i="5"/>
  <c r="AB410" i="5"/>
  <c r="AA410" i="5"/>
  <c r="AB264" i="5"/>
  <c r="AA264" i="5"/>
  <c r="AA149" i="5"/>
  <c r="AB149" i="5"/>
  <c r="AB45" i="5"/>
  <c r="AA45" i="5"/>
  <c r="AA401" i="5"/>
  <c r="AB401" i="5"/>
  <c r="AA529" i="5"/>
  <c r="AB529" i="5"/>
  <c r="AA91" i="5"/>
  <c r="AB91" i="5"/>
  <c r="AB405" i="5"/>
  <c r="AA405" i="5"/>
  <c r="AB175" i="5"/>
  <c r="AA175" i="5"/>
  <c r="AA501" i="5"/>
  <c r="AB501" i="5"/>
  <c r="AA31" i="5"/>
  <c r="AB31" i="5"/>
  <c r="AA244" i="5"/>
  <c r="AB244" i="5"/>
  <c r="AB260" i="5"/>
  <c r="AA260" i="5"/>
  <c r="AB170" i="5"/>
  <c r="AA170" i="5"/>
  <c r="AA539" i="5"/>
  <c r="AB539" i="5"/>
  <c r="AB512" i="5"/>
  <c r="AA512" i="5"/>
  <c r="AA406" i="5"/>
  <c r="AB406" i="5"/>
  <c r="AB343" i="5"/>
  <c r="AA343" i="5"/>
  <c r="AB452" i="5"/>
  <c r="AA452" i="5"/>
  <c r="AA353" i="5"/>
  <c r="AB353" i="5"/>
  <c r="AA556" i="5"/>
  <c r="AB556" i="5"/>
  <c r="AB441" i="5"/>
  <c r="AA441" i="5"/>
  <c r="AB67" i="5"/>
  <c r="AA67" i="5"/>
  <c r="AA344" i="5"/>
  <c r="AB344" i="5"/>
  <c r="AA371" i="5"/>
  <c r="AB371" i="5"/>
  <c r="AA164" i="5"/>
  <c r="AB164" i="5"/>
  <c r="AB150" i="5"/>
  <c r="AA150" i="5"/>
  <c r="AA101" i="5"/>
  <c r="AB101" i="5"/>
  <c r="AA293" i="5"/>
  <c r="AB293" i="5"/>
  <c r="AB185" i="5"/>
  <c r="AA185" i="5"/>
  <c r="AB398" i="5"/>
  <c r="AA398" i="5"/>
  <c r="AA105" i="5"/>
  <c r="AB105" i="5"/>
  <c r="AB425" i="5"/>
  <c r="AA425" i="5"/>
  <c r="AA545" i="5"/>
  <c r="AB545" i="5"/>
  <c r="AA174" i="5"/>
  <c r="AB174" i="5"/>
  <c r="AA360" i="5"/>
  <c r="AB360" i="5"/>
  <c r="AB58" i="5"/>
  <c r="AA58" i="5"/>
  <c r="AA29" i="5"/>
  <c r="AB29" i="5"/>
  <c r="AA532" i="5"/>
  <c r="AB532" i="5"/>
  <c r="AB295" i="5"/>
  <c r="AA295" i="5"/>
  <c r="AB83" i="5"/>
  <c r="AA83" i="5"/>
  <c r="AB477" i="5"/>
  <c r="AA477" i="5"/>
  <c r="AA151" i="5"/>
  <c r="AB151" i="5"/>
  <c r="AB261" i="5"/>
  <c r="AA261" i="5"/>
  <c r="AA235" i="5"/>
  <c r="AB235" i="5"/>
  <c r="AB328" i="5"/>
  <c r="AA328" i="5"/>
  <c r="AB381" i="5"/>
  <c r="AA381" i="5"/>
  <c r="AA538" i="5"/>
  <c r="AB538" i="5"/>
  <c r="AB540" i="5"/>
  <c r="AA540" i="5"/>
  <c r="AA298" i="5"/>
  <c r="AB298" i="5"/>
  <c r="AA74" i="5"/>
  <c r="AB74" i="5"/>
  <c r="AB370" i="5"/>
  <c r="AA370" i="5"/>
  <c r="AA231" i="5"/>
  <c r="AB231" i="5"/>
  <c r="AA384" i="5"/>
  <c r="AB384" i="5"/>
  <c r="AA523" i="5"/>
  <c r="AB523" i="5"/>
  <c r="AA214" i="5"/>
  <c r="AB214" i="5"/>
  <c r="AA140" i="5"/>
  <c r="AB140" i="5"/>
  <c r="AA326" i="5"/>
  <c r="AB326" i="5"/>
  <c r="AA213" i="5"/>
  <c r="AB213" i="5"/>
  <c r="AA73" i="5"/>
  <c r="AB73" i="5"/>
  <c r="AA339" i="5"/>
  <c r="AB339" i="5"/>
  <c r="AA258" i="5"/>
  <c r="AB258" i="5"/>
  <c r="AA508" i="5"/>
  <c r="AB508" i="5"/>
  <c r="AA517" i="5"/>
  <c r="AB517" i="5"/>
  <c r="AB466" i="5"/>
  <c r="AA466" i="5"/>
  <c r="AA301" i="5"/>
  <c r="AB301" i="5"/>
  <c r="AA413" i="5"/>
  <c r="AB413" i="5"/>
  <c r="AA534" i="5"/>
  <c r="AB534" i="5"/>
  <c r="AA48" i="5"/>
  <c r="AB48" i="5"/>
  <c r="AA547" i="5"/>
  <c r="AB547" i="5"/>
  <c r="AB36" i="5"/>
  <c r="AA36" i="5"/>
  <c r="AB156" i="5"/>
  <c r="AA156" i="5"/>
  <c r="AB321" i="5"/>
  <c r="AA321" i="5"/>
  <c r="AA212" i="5"/>
  <c r="AB212" i="5"/>
  <c r="AB474" i="5"/>
  <c r="AA474" i="5"/>
  <c r="AB476" i="5"/>
  <c r="AA476" i="5"/>
  <c r="AA228" i="5"/>
  <c r="AB228" i="5"/>
  <c r="AB30" i="5"/>
  <c r="AA30" i="5"/>
  <c r="AA521" i="5"/>
  <c r="AB521" i="5"/>
  <c r="AA458" i="5"/>
  <c r="AB458" i="5"/>
  <c r="AA254" i="5"/>
  <c r="AB254" i="5"/>
  <c r="AB247" i="5"/>
  <c r="AA247" i="5"/>
  <c r="AA75" i="5"/>
  <c r="AB75" i="5"/>
  <c r="AB46" i="5"/>
  <c r="AA46" i="5"/>
  <c r="AB380" i="5"/>
  <c r="AA380" i="5"/>
  <c r="AB310" i="5"/>
  <c r="AA310" i="5"/>
  <c r="AB256" i="5"/>
  <c r="AA256" i="5"/>
  <c r="AA325" i="5"/>
  <c r="AB325" i="5"/>
  <c r="AB28" i="5"/>
  <c r="AA28" i="5"/>
  <c r="AB400" i="5"/>
  <c r="AA400" i="5"/>
  <c r="AA127" i="5"/>
  <c r="AB127" i="5"/>
  <c r="AB279" i="5"/>
  <c r="AA279" i="5"/>
  <c r="AB442" i="5"/>
  <c r="AA442" i="5"/>
  <c r="AA22" i="5"/>
  <c r="AB22" i="5"/>
  <c r="AA208" i="5"/>
  <c r="AB208" i="5"/>
  <c r="AB302" i="5"/>
  <c r="AA302" i="5"/>
  <c r="AB395" i="5"/>
  <c r="AA395" i="5"/>
  <c r="AA465" i="5"/>
  <c r="AB465" i="5"/>
  <c r="AB207" i="5"/>
  <c r="AA207" i="5"/>
  <c r="AB236" i="5"/>
  <c r="AA236" i="5"/>
  <c r="AA506" i="5"/>
  <c r="AB506" i="5"/>
  <c r="AA55" i="5"/>
  <c r="AB55" i="5"/>
  <c r="AA143" i="5"/>
  <c r="AB143" i="5"/>
  <c r="AA315" i="5"/>
  <c r="AB315" i="5"/>
  <c r="AA407" i="5"/>
  <c r="AB407" i="5"/>
  <c r="AB265" i="5"/>
  <c r="AA265" i="5"/>
  <c r="AA415" i="5"/>
  <c r="AB415" i="5"/>
  <c r="AA59" i="5"/>
  <c r="AB59" i="5"/>
  <c r="AB171" i="5"/>
  <c r="AA171" i="5"/>
  <c r="AB25" i="5"/>
  <c r="AA25" i="5"/>
  <c r="AA110" i="5"/>
  <c r="AB110" i="5"/>
  <c r="AA498" i="5"/>
  <c r="AB498" i="5"/>
  <c r="AA64" i="5"/>
  <c r="AB64" i="5"/>
  <c r="AB349" i="5"/>
  <c r="AA349" i="5"/>
  <c r="AA85" i="5"/>
  <c r="AB85" i="5"/>
  <c r="AA280" i="5"/>
  <c r="AB280" i="5"/>
  <c r="AA493" i="5"/>
  <c r="AB493" i="5"/>
  <c r="AA198" i="5"/>
  <c r="AB198" i="5"/>
  <c r="AB296" i="5"/>
  <c r="AA296" i="5"/>
  <c r="AA533" i="5"/>
  <c r="AB533" i="5"/>
  <c r="AB313" i="5"/>
  <c r="AA313" i="5"/>
  <c r="AB386" i="5"/>
  <c r="AA386" i="5"/>
  <c r="AB482" i="5"/>
  <c r="AA482" i="5"/>
  <c r="AA399" i="5"/>
  <c r="AB399" i="5"/>
  <c r="AA275" i="5"/>
  <c r="AB275" i="5"/>
  <c r="AB306" i="5"/>
  <c r="AA306" i="5"/>
  <c r="AB412" i="5"/>
  <c r="AA412" i="5"/>
  <c r="AA152" i="5"/>
  <c r="AB152" i="5"/>
  <c r="AB262" i="5"/>
  <c r="AA262" i="5"/>
  <c r="AB368" i="5"/>
  <c r="AA368" i="5"/>
  <c r="AA332" i="5"/>
  <c r="AB332" i="5"/>
  <c r="AB141" i="5"/>
  <c r="AA141" i="5"/>
  <c r="AA50" i="5"/>
  <c r="AB50" i="5"/>
  <c r="AA422" i="5"/>
  <c r="AB422" i="5"/>
  <c r="AB269" i="5"/>
  <c r="AA269" i="5"/>
  <c r="AB324" i="5"/>
  <c r="AA324" i="5"/>
  <c r="AB229" i="5"/>
  <c r="AA229" i="5"/>
  <c r="AA446" i="5"/>
  <c r="AB446" i="5"/>
  <c r="AB347" i="5"/>
  <c r="AA347" i="5"/>
  <c r="AB515" i="5"/>
  <c r="AA515" i="5"/>
  <c r="AA139" i="5"/>
  <c r="AB139" i="5"/>
  <c r="AA39" i="5"/>
  <c r="AB39" i="5"/>
  <c r="AB87" i="5"/>
  <c r="AA87" i="5"/>
  <c r="AB122" i="5"/>
  <c r="AA122" i="5"/>
  <c r="AB33" i="5"/>
  <c r="AA33" i="5"/>
  <c r="AB467" i="5"/>
  <c r="AA467" i="5"/>
  <c r="AB393" i="5"/>
  <c r="AA393" i="5"/>
  <c r="AB206" i="5"/>
  <c r="AA206" i="5"/>
  <c r="AB199" i="5"/>
  <c r="AA199" i="5"/>
  <c r="AA525" i="5"/>
  <c r="AB525" i="5"/>
  <c r="AB148" i="5"/>
  <c r="AA148" i="5"/>
  <c r="AA511" i="5"/>
  <c r="AB511" i="5"/>
  <c r="AB203" i="5"/>
  <c r="AA203" i="5"/>
  <c r="AA455" i="5"/>
  <c r="AB455" i="5"/>
  <c r="AA308" i="5"/>
  <c r="AB308" i="5"/>
  <c r="AA252" i="5"/>
  <c r="AB252" i="5"/>
  <c r="B13" i="2" l="1"/>
  <c r="B31" i="5" l="1"/>
  <c r="O10" i="5" s="1"/>
  <c r="B70" i="2"/>
  <c r="B71" i="2" s="1"/>
  <c r="B54" i="2"/>
  <c r="B55" i="2" s="1"/>
  <c r="B62" i="2"/>
  <c r="B20" i="5"/>
  <c r="B14" i="2"/>
  <c r="B156" i="2"/>
  <c r="B162" i="2" s="1"/>
  <c r="B42" i="2"/>
  <c r="B168" i="2"/>
  <c r="B57" i="2"/>
  <c r="B70" i="5"/>
  <c r="O12" i="4"/>
  <c r="B248" i="2"/>
  <c r="B17" i="5"/>
  <c r="B197" i="2"/>
  <c r="B198" i="2" s="1"/>
  <c r="B206" i="2" s="1"/>
  <c r="B117" i="2"/>
  <c r="H41" i="1" s="1"/>
  <c r="B15" i="2"/>
  <c r="H15" i="1" s="1"/>
  <c r="B42" i="5"/>
  <c r="B65" i="2"/>
  <c r="B73" i="2"/>
  <c r="B35" i="2"/>
  <c r="B36" i="2" s="1"/>
  <c r="B40" i="2"/>
  <c r="B107" i="2"/>
  <c r="B266" i="2"/>
  <c r="B43" i="2" l="1"/>
  <c r="B45" i="2" s="1"/>
  <c r="H22" i="1" s="1"/>
  <c r="B104" i="2"/>
  <c r="B105" i="2" s="1"/>
  <c r="B63" i="2"/>
  <c r="K93" i="2"/>
  <c r="B204" i="2"/>
  <c r="B201" i="2"/>
  <c r="B202" i="2" s="1"/>
  <c r="B56" i="2"/>
  <c r="B94" i="2"/>
  <c r="B83" i="2"/>
  <c r="B58" i="2"/>
  <c r="B109" i="2" s="1"/>
  <c r="B196" i="2"/>
  <c r="B72" i="2"/>
  <c r="B95" i="2"/>
  <c r="B74" i="2"/>
  <c r="B75" i="2" s="1"/>
  <c r="AW10" i="5"/>
  <c r="AZ10" i="5"/>
  <c r="AT10" i="5"/>
  <c r="T10" i="5"/>
  <c r="AJ10" i="5"/>
  <c r="Z10" i="5"/>
  <c r="B43" i="5"/>
  <c r="W231" i="5"/>
  <c r="W249" i="5"/>
  <c r="W400" i="5"/>
  <c r="W436" i="5"/>
  <c r="W148" i="5"/>
  <c r="W20" i="5"/>
  <c r="W376" i="5"/>
  <c r="W410" i="5"/>
  <c r="W499" i="5"/>
  <c r="W109" i="5"/>
  <c r="W501" i="5"/>
  <c r="W262" i="5"/>
  <c r="W416" i="5"/>
  <c r="W83" i="5"/>
  <c r="W23" i="5"/>
  <c r="W511" i="5"/>
  <c r="W168" i="5"/>
  <c r="W317" i="5"/>
  <c r="W151" i="5"/>
  <c r="W212" i="5"/>
  <c r="W229" i="5"/>
  <c r="W541" i="5"/>
  <c r="W388" i="5"/>
  <c r="W305" i="5"/>
  <c r="W466" i="5"/>
  <c r="W381" i="5"/>
  <c r="W343" i="5"/>
  <c r="W239" i="5"/>
  <c r="W89" i="5"/>
  <c r="W115" i="5"/>
  <c r="W187" i="5"/>
  <c r="W497" i="5"/>
  <c r="W140" i="5"/>
  <c r="W253" i="5"/>
  <c r="W179" i="5"/>
  <c r="W207" i="5"/>
  <c r="W379" i="5"/>
  <c r="W217" i="5"/>
  <c r="W10" i="5"/>
  <c r="W293" i="5"/>
  <c r="W413" i="5"/>
  <c r="W415" i="5"/>
  <c r="W418" i="5"/>
  <c r="W297" i="5"/>
  <c r="W160" i="5"/>
  <c r="W110" i="5"/>
  <c r="W180" i="5"/>
  <c r="W144" i="5"/>
  <c r="W339" i="5"/>
  <c r="W36" i="5"/>
  <c r="W480" i="5"/>
  <c r="W42" i="5"/>
  <c r="W311" i="5"/>
  <c r="W198" i="5"/>
  <c r="W101" i="5"/>
  <c r="W422" i="5"/>
  <c r="W485" i="5"/>
  <c r="W30" i="5"/>
  <c r="W19" i="5"/>
  <c r="W552" i="5"/>
  <c r="W348" i="5"/>
  <c r="W166" i="5"/>
  <c r="W215" i="5"/>
  <c r="W414" i="5"/>
  <c r="W246" i="5"/>
  <c r="W121" i="5"/>
  <c r="W368" i="5"/>
  <c r="W84" i="5"/>
  <c r="W200" i="5"/>
  <c r="W393" i="5"/>
  <c r="W173" i="5"/>
  <c r="W443" i="5"/>
  <c r="W74" i="5"/>
  <c r="W296" i="5"/>
  <c r="W267" i="5"/>
  <c r="W133" i="5"/>
  <c r="W334" i="5"/>
  <c r="W25" i="5"/>
  <c r="W165" i="5"/>
  <c r="W142" i="5"/>
  <c r="W437" i="5"/>
  <c r="W295" i="5"/>
  <c r="W369" i="5"/>
  <c r="W278" i="5"/>
  <c r="W92" i="5"/>
  <c r="W482" i="5"/>
  <c r="W105" i="5"/>
  <c r="W351" i="5"/>
  <c r="W208" i="5"/>
  <c r="W507" i="5"/>
  <c r="W233" i="5"/>
  <c r="W438" i="5"/>
  <c r="W221" i="5"/>
  <c r="W395" i="5"/>
  <c r="W98" i="5"/>
  <c r="W52" i="5"/>
  <c r="W269" i="5"/>
  <c r="W209" i="5"/>
  <c r="W122" i="5"/>
  <c r="W540" i="5"/>
  <c r="W145" i="5"/>
  <c r="W440" i="5"/>
  <c r="W237" i="5"/>
  <c r="W314" i="5"/>
  <c r="W301" i="5"/>
  <c r="W352" i="5"/>
  <c r="W548" i="5"/>
  <c r="W412" i="5"/>
  <c r="W177" i="5"/>
  <c r="W248" i="5"/>
  <c r="W93" i="5"/>
  <c r="W327" i="5"/>
  <c r="W34" i="5"/>
  <c r="W555" i="5"/>
  <c r="W522" i="5"/>
  <c r="W409" i="5"/>
  <c r="W199" i="5"/>
  <c r="W335" i="5"/>
  <c r="W329" i="5"/>
  <c r="W473" i="5"/>
  <c r="W312" i="5"/>
  <c r="W238" i="5"/>
  <c r="W150" i="5"/>
  <c r="W380" i="5"/>
  <c r="W322" i="5"/>
  <c r="W331" i="5"/>
  <c r="W255" i="5"/>
  <c r="W474" i="5"/>
  <c r="W29" i="5"/>
  <c r="W556" i="5"/>
  <c r="W386" i="5"/>
  <c r="W375" i="5"/>
  <c r="W471" i="5"/>
  <c r="W80" i="5"/>
  <c r="W515" i="5"/>
  <c r="W87" i="5"/>
  <c r="W472" i="5"/>
  <c r="W496" i="5"/>
  <c r="W226" i="5"/>
  <c r="W508" i="5"/>
  <c r="W408" i="5"/>
  <c r="W65" i="5"/>
  <c r="W519" i="5"/>
  <c r="W182" i="5"/>
  <c r="W542" i="5"/>
  <c r="W433" i="5"/>
  <c r="W28" i="5"/>
  <c r="W154" i="5"/>
  <c r="W38" i="5"/>
  <c r="W242" i="5"/>
  <c r="W169" i="5"/>
  <c r="W90" i="5"/>
  <c r="W68" i="5"/>
  <c r="W271" i="5"/>
  <c r="W40" i="5"/>
  <c r="W423" i="5"/>
  <c r="W385" i="5"/>
  <c r="W315" i="5"/>
  <c r="W323" i="5"/>
  <c r="W453" i="5"/>
  <c r="W359" i="5"/>
  <c r="W69" i="5"/>
  <c r="W94" i="5"/>
  <c r="W537" i="5"/>
  <c r="W491" i="5"/>
  <c r="W70" i="5"/>
  <c r="W425" i="5"/>
  <c r="W158" i="5"/>
  <c r="W178" i="5"/>
  <c r="W476" i="5"/>
  <c r="W203" i="5"/>
  <c r="W44" i="5"/>
  <c r="W294" i="5"/>
  <c r="W60" i="5"/>
  <c r="W131" i="5"/>
  <c r="W454" i="5"/>
  <c r="W75" i="5"/>
  <c r="W426" i="5"/>
  <c r="W172" i="5"/>
  <c r="W256" i="5"/>
  <c r="W326" i="5"/>
  <c r="W553" i="5"/>
  <c r="W447" i="5"/>
  <c r="W434" i="5"/>
  <c r="W467" i="5"/>
  <c r="W37" i="5"/>
  <c r="W464" i="5"/>
  <c r="W358" i="5"/>
  <c r="W228" i="5"/>
  <c r="W300" i="5"/>
  <c r="W407" i="5"/>
  <c r="W486" i="5"/>
  <c r="W350" i="5"/>
  <c r="W549" i="5"/>
  <c r="W536" i="5"/>
  <c r="W117" i="5"/>
  <c r="W390" i="5"/>
  <c r="W214" i="5"/>
  <c r="W399" i="5"/>
  <c r="W371" i="5"/>
  <c r="W273" i="5"/>
  <c r="W492" i="5"/>
  <c r="W532" i="5"/>
  <c r="W204" i="5"/>
  <c r="W136" i="5"/>
  <c r="W243" i="5"/>
  <c r="W95" i="5"/>
  <c r="W216" i="5"/>
  <c r="W282" i="5"/>
  <c r="W302" i="5"/>
  <c r="W279" i="5"/>
  <c r="W31" i="5"/>
  <c r="W543" i="5"/>
  <c r="W106" i="5"/>
  <c r="W251" i="5"/>
  <c r="W245" i="5"/>
  <c r="W506" i="5"/>
  <c r="W505" i="5"/>
  <c r="W502" i="5"/>
  <c r="W235" i="5"/>
  <c r="W62" i="5"/>
  <c r="W224" i="5"/>
  <c r="W487" i="5"/>
  <c r="W47" i="5"/>
  <c r="W382" i="5"/>
  <c r="W220" i="5"/>
  <c r="W35" i="5"/>
  <c r="W420" i="5"/>
  <c r="W266" i="5"/>
  <c r="W394" i="5"/>
  <c r="W364" i="5"/>
  <c r="W435" i="5"/>
  <c r="W164" i="5"/>
  <c r="W114" i="5"/>
  <c r="W392" i="5"/>
  <c r="W465" i="5"/>
  <c r="W59" i="5"/>
  <c r="W349" i="5"/>
  <c r="W211" i="5"/>
  <c r="W167" i="5"/>
  <c r="W138" i="5"/>
  <c r="W504" i="5"/>
  <c r="W257" i="5"/>
  <c r="W247" i="5"/>
  <c r="W517" i="5"/>
  <c r="W461" i="5"/>
  <c r="W360" i="5"/>
  <c r="W64" i="5"/>
  <c r="W123" i="5"/>
  <c r="W298" i="5"/>
  <c r="W141" i="5"/>
  <c r="W307" i="5"/>
  <c r="W325" i="5"/>
  <c r="W452" i="5"/>
  <c r="W32" i="5"/>
  <c r="W442" i="5"/>
  <c r="W469" i="5"/>
  <c r="W196" i="5"/>
  <c r="W367" i="5"/>
  <c r="W459" i="5"/>
  <c r="W421" i="5"/>
  <c r="W281" i="5"/>
  <c r="W355" i="5"/>
  <c r="W85" i="5"/>
  <c r="W139" i="5"/>
  <c r="W76" i="5"/>
  <c r="W526" i="5"/>
  <c r="W309" i="5"/>
  <c r="W468" i="5"/>
  <c r="W191" i="5"/>
  <c r="W176" i="5"/>
  <c r="W265" i="5"/>
  <c r="W374" i="5"/>
  <c r="W332" i="5"/>
  <c r="W272" i="5"/>
  <c r="W346" i="5"/>
  <c r="W67" i="5"/>
  <c r="W481" i="5"/>
  <c r="W450" i="5"/>
  <c r="W488" i="5"/>
  <c r="W189" i="5"/>
  <c r="W119" i="5"/>
  <c r="W197" i="5"/>
  <c r="W304" i="5"/>
  <c r="W299" i="5"/>
  <c r="W558" i="5"/>
  <c r="W268" i="5"/>
  <c r="W88" i="5"/>
  <c r="W523" i="5"/>
  <c r="W503" i="5"/>
  <c r="W303" i="5"/>
  <c r="W403" i="5"/>
  <c r="W475" i="5"/>
  <c r="W157" i="5"/>
  <c r="W50" i="5"/>
  <c r="W71" i="5"/>
  <c r="W56" i="5"/>
  <c r="W338" i="5"/>
  <c r="W186" i="5"/>
  <c r="W125" i="5"/>
  <c r="W354" i="5"/>
  <c r="W545" i="5"/>
  <c r="W111" i="5"/>
  <c r="W306" i="5"/>
  <c r="W33" i="5"/>
  <c r="W223" i="5"/>
  <c r="W534" i="5"/>
  <c r="W328" i="5"/>
  <c r="W82" i="5"/>
  <c r="W455" i="5"/>
  <c r="W49" i="5"/>
  <c r="W366" i="5"/>
  <c r="W183" i="5"/>
  <c r="W318" i="5"/>
  <c r="W533" i="5"/>
  <c r="W39" i="5"/>
  <c r="W495" i="5"/>
  <c r="W361" i="5"/>
  <c r="W402" i="5"/>
  <c r="W73" i="5"/>
  <c r="W405" i="5"/>
  <c r="W554" i="5"/>
  <c r="W58" i="5"/>
  <c r="W21" i="5"/>
  <c r="W97" i="5"/>
  <c r="W149" i="5"/>
  <c r="W347" i="5"/>
  <c r="W383" i="5"/>
  <c r="W451" i="5"/>
  <c r="W518" i="5"/>
  <c r="W406" i="5"/>
  <c r="W557" i="5"/>
  <c r="W462" i="5"/>
  <c r="W330" i="5"/>
  <c r="W100" i="5"/>
  <c r="W477" i="5"/>
  <c r="W108" i="5"/>
  <c r="W241" i="5"/>
  <c r="W77" i="5"/>
  <c r="W286" i="5"/>
  <c r="W490" i="5"/>
  <c r="W547" i="5"/>
  <c r="W458" i="5"/>
  <c r="W377" i="5"/>
  <c r="W72" i="5"/>
  <c r="W550" i="5"/>
  <c r="W512" i="5"/>
  <c r="W146" i="5"/>
  <c r="W270" i="5"/>
  <c r="W290" i="5"/>
  <c r="W531" i="5"/>
  <c r="W86" i="5"/>
  <c r="W161" i="5"/>
  <c r="W484" i="5"/>
  <c r="W356" i="5"/>
  <c r="W45" i="5"/>
  <c r="W539" i="5"/>
  <c r="W538" i="5"/>
  <c r="W316" i="5"/>
  <c r="W171" i="5"/>
  <c r="W24" i="5"/>
  <c r="W521" i="5"/>
  <c r="W446" i="5"/>
  <c r="W320" i="5"/>
  <c r="W510" i="5"/>
  <c r="W276" i="5"/>
  <c r="W46" i="5"/>
  <c r="W353" i="5"/>
  <c r="W188" i="5"/>
  <c r="W373" i="5"/>
  <c r="W513" i="5"/>
  <c r="W130" i="5"/>
  <c r="W127" i="5"/>
  <c r="W254" i="5"/>
  <c r="W288" i="5"/>
  <c r="W365" i="5"/>
  <c r="W193" i="5"/>
  <c r="W8" i="5"/>
  <c r="W258" i="5"/>
  <c r="W184" i="5"/>
  <c r="W509" i="5"/>
  <c r="W192" i="5"/>
  <c r="W124" i="5"/>
  <c r="W259" i="5"/>
  <c r="W551" i="5"/>
  <c r="W524" i="5"/>
  <c r="W389" i="5"/>
  <c r="W274" i="5"/>
  <c r="W120" i="5"/>
  <c r="W126" i="5"/>
  <c r="W12" i="5"/>
  <c r="W319" i="5"/>
  <c r="W457" i="5"/>
  <c r="W396" i="5"/>
  <c r="W53" i="5"/>
  <c r="W205" i="5"/>
  <c r="W445" i="5"/>
  <c r="W357" i="5"/>
  <c r="W287" i="5"/>
  <c r="W341" i="5"/>
  <c r="W308" i="5"/>
  <c r="W285" i="5"/>
  <c r="W345" i="5"/>
  <c r="W283" i="5"/>
  <c r="W61" i="5"/>
  <c r="W559" i="5"/>
  <c r="W132" i="5"/>
  <c r="W498" i="5"/>
  <c r="W63" i="5"/>
  <c r="W54" i="5"/>
  <c r="W181" i="5"/>
  <c r="W419" i="5"/>
  <c r="W48" i="5"/>
  <c r="W560" i="5"/>
  <c r="W91" i="5"/>
  <c r="W155" i="5"/>
  <c r="W222" i="5"/>
  <c r="W234" i="5"/>
  <c r="W170" i="5"/>
  <c r="W516" i="5"/>
  <c r="W236" i="5"/>
  <c r="W147" i="5"/>
  <c r="W444" i="5"/>
  <c r="W493" i="5"/>
  <c r="W252" i="5"/>
  <c r="W227" i="5"/>
  <c r="W225" i="5"/>
  <c r="W143" i="5"/>
  <c r="W194" i="5"/>
  <c r="W479" i="5"/>
  <c r="W404" i="5"/>
  <c r="W372" i="5"/>
  <c r="W441" i="5"/>
  <c r="W41" i="5"/>
  <c r="W213" i="5"/>
  <c r="W280" i="5"/>
  <c r="W162" i="5"/>
  <c r="W128" i="5"/>
  <c r="W107" i="5"/>
  <c r="W275" i="5"/>
  <c r="W134" i="5"/>
  <c r="W201" i="5"/>
  <c r="W514" i="5"/>
  <c r="W546" i="5"/>
  <c r="W470" i="5"/>
  <c r="W277" i="5"/>
  <c r="W289" i="5"/>
  <c r="W378" i="5"/>
  <c r="W432" i="5"/>
  <c r="W99" i="5"/>
  <c r="W51" i="5"/>
  <c r="W118" i="5"/>
  <c r="W78" i="5"/>
  <c r="W324" i="5"/>
  <c r="W460" i="5"/>
  <c r="W219" i="5"/>
  <c r="W313" i="5"/>
  <c r="W113" i="5"/>
  <c r="W363" i="5"/>
  <c r="W195" i="5"/>
  <c r="W528" i="5"/>
  <c r="W57" i="5"/>
  <c r="W103" i="5"/>
  <c r="W337" i="5"/>
  <c r="W244" i="5"/>
  <c r="W163" i="5"/>
  <c r="W439" i="5"/>
  <c r="W384" i="5"/>
  <c r="W342" i="5"/>
  <c r="W529" i="5"/>
  <c r="W431" i="5"/>
  <c r="W417" i="5"/>
  <c r="W478" i="5"/>
  <c r="W260" i="5"/>
  <c r="W261" i="5"/>
  <c r="W210" i="5"/>
  <c r="W153" i="5"/>
  <c r="W291" i="5"/>
  <c r="W500" i="5"/>
  <c r="W55" i="5"/>
  <c r="W530" i="5"/>
  <c r="W430" i="5"/>
  <c r="W232" i="5"/>
  <c r="W520" i="5"/>
  <c r="W240" i="5"/>
  <c r="W174" i="5"/>
  <c r="W340" i="5"/>
  <c r="W190" i="5"/>
  <c r="W387" i="5"/>
  <c r="W43" i="5"/>
  <c r="W250" i="5"/>
  <c r="W27" i="5"/>
  <c r="W401" i="5"/>
  <c r="O9" i="5"/>
  <c r="W333" i="5"/>
  <c r="W81" i="5"/>
  <c r="W427" i="5"/>
  <c r="W292" i="5"/>
  <c r="W456" i="5"/>
  <c r="W397" i="5"/>
  <c r="W129" i="5"/>
  <c r="W230" i="5"/>
  <c r="W489" i="5"/>
  <c r="W66" i="5"/>
  <c r="W362" i="5"/>
  <c r="W535" i="5"/>
  <c r="W424" i="5"/>
  <c r="W483" i="5"/>
  <c r="W391" i="5"/>
  <c r="W104" i="5"/>
  <c r="W22" i="5"/>
  <c r="W398" i="5"/>
  <c r="W159" i="5"/>
  <c r="W218" i="5"/>
  <c r="W202" i="5"/>
  <c r="W544" i="5"/>
  <c r="W429" i="5"/>
  <c r="W137" i="5"/>
  <c r="W449" i="5"/>
  <c r="W116" i="5"/>
  <c r="W96" i="5"/>
  <c r="W206" i="5"/>
  <c r="W264" i="5"/>
  <c r="W411" i="5"/>
  <c r="W102" i="5"/>
  <c r="W152" i="5"/>
  <c r="W525" i="5"/>
  <c r="W527" i="5"/>
  <c r="W284" i="5"/>
  <c r="W13" i="5"/>
  <c r="W336" i="5"/>
  <c r="W112" i="5"/>
  <c r="W321" i="5"/>
  <c r="W370" i="5"/>
  <c r="W310" i="5"/>
  <c r="W156" i="5"/>
  <c r="W263" i="5"/>
  <c r="W463" i="5"/>
  <c r="W428" i="5"/>
  <c r="W175" i="5"/>
  <c r="W79" i="5"/>
  <c r="W494" i="5"/>
  <c r="W448" i="5"/>
  <c r="W135" i="5"/>
  <c r="W26" i="5"/>
  <c r="W344" i="5"/>
  <c r="W185" i="5"/>
  <c r="B211" i="2"/>
  <c r="B216" i="2" s="1"/>
  <c r="B77" i="5"/>
  <c r="B72" i="5"/>
  <c r="B160" i="2"/>
  <c r="P7" i="5" s="1"/>
  <c r="B36" i="5"/>
  <c r="B73" i="5"/>
  <c r="B112" i="2"/>
  <c r="S21" i="4"/>
  <c r="V21" i="4" s="1"/>
  <c r="S61" i="4"/>
  <c r="V61" i="4" s="1"/>
  <c r="S142" i="4"/>
  <c r="V142" i="4" s="1"/>
  <c r="S9" i="4"/>
  <c r="V9" i="4" s="1"/>
  <c r="S12" i="4"/>
  <c r="V12" i="4" s="1"/>
  <c r="S154" i="4"/>
  <c r="V154" i="4" s="1"/>
  <c r="S80" i="4"/>
  <c r="V80" i="4" s="1"/>
  <c r="S25" i="4"/>
  <c r="V25" i="4" s="1"/>
  <c r="S103" i="4"/>
  <c r="V103" i="4" s="1"/>
  <c r="S67" i="4"/>
  <c r="V67" i="4" s="1"/>
  <c r="S150" i="4"/>
  <c r="V150" i="4" s="1"/>
  <c r="S39" i="4"/>
  <c r="V39" i="4" s="1"/>
  <c r="S71" i="4"/>
  <c r="V71" i="4" s="1"/>
  <c r="S36" i="4"/>
  <c r="V36" i="4" s="1"/>
  <c r="S54" i="4"/>
  <c r="V54" i="4" s="1"/>
  <c r="S95" i="4"/>
  <c r="V95" i="4" s="1"/>
  <c r="S19" i="4"/>
  <c r="V19" i="4" s="1"/>
  <c r="S141" i="4"/>
  <c r="V141" i="4" s="1"/>
  <c r="S57" i="4"/>
  <c r="V57" i="4" s="1"/>
  <c r="S108" i="4"/>
  <c r="V108" i="4" s="1"/>
  <c r="S49" i="4"/>
  <c r="V49" i="4" s="1"/>
  <c r="S143" i="4"/>
  <c r="V143" i="4" s="1"/>
  <c r="S138" i="4"/>
  <c r="V138" i="4" s="1"/>
  <c r="S62" i="4"/>
  <c r="V62" i="4" s="1"/>
  <c r="S111" i="4"/>
  <c r="V111" i="4" s="1"/>
  <c r="S31" i="4"/>
  <c r="V31" i="4" s="1"/>
  <c r="S70" i="4"/>
  <c r="V70" i="4" s="1"/>
  <c r="S102" i="4"/>
  <c r="V102" i="4" s="1"/>
  <c r="S157" i="4"/>
  <c r="V157" i="4" s="1"/>
  <c r="S14" i="4"/>
  <c r="V14" i="4" s="1"/>
  <c r="S51" i="4"/>
  <c r="V51" i="4" s="1"/>
  <c r="S28" i="4"/>
  <c r="V28" i="4" s="1"/>
  <c r="S13" i="4"/>
  <c r="V13" i="4" s="1"/>
  <c r="S33" i="4"/>
  <c r="V33" i="4" s="1"/>
  <c r="S148" i="4"/>
  <c r="V148" i="4" s="1"/>
  <c r="S46" i="4"/>
  <c r="V46" i="4" s="1"/>
  <c r="S155" i="4"/>
  <c r="V155" i="4" s="1"/>
  <c r="S52" i="4"/>
  <c r="V52" i="4" s="1"/>
  <c r="S10" i="4"/>
  <c r="V10" i="4" s="1"/>
  <c r="S56" i="4"/>
  <c r="V56" i="4" s="1"/>
  <c r="S92" i="4"/>
  <c r="V92" i="4" s="1"/>
  <c r="S145" i="4"/>
  <c r="V145" i="4" s="1"/>
  <c r="S84" i="4"/>
  <c r="V84" i="4" s="1"/>
  <c r="S50" i="4"/>
  <c r="V50" i="4" s="1"/>
  <c r="S73" i="4"/>
  <c r="V73" i="4" s="1"/>
  <c r="S101" i="4"/>
  <c r="V101" i="4" s="1"/>
  <c r="S24" i="4"/>
  <c r="V24" i="4" s="1"/>
  <c r="S68" i="4"/>
  <c r="V68" i="4" s="1"/>
  <c r="S133" i="4"/>
  <c r="V133" i="4" s="1"/>
  <c r="S117" i="4"/>
  <c r="V117" i="4" s="1"/>
  <c r="S144" i="4"/>
  <c r="V144" i="4" s="1"/>
  <c r="S96" i="4"/>
  <c r="V96" i="4" s="1"/>
  <c r="S152" i="4"/>
  <c r="V152" i="4" s="1"/>
  <c r="S44" i="4"/>
  <c r="V44" i="4" s="1"/>
  <c r="S35" i="4"/>
  <c r="V35" i="4" s="1"/>
  <c r="S37" i="4"/>
  <c r="V37" i="4" s="1"/>
  <c r="S38" i="4"/>
  <c r="V38" i="4" s="1"/>
  <c r="S17" i="4"/>
  <c r="V17" i="4" s="1"/>
  <c r="S128" i="4"/>
  <c r="V128" i="4" s="1"/>
  <c r="S48" i="4"/>
  <c r="V48" i="4" s="1"/>
  <c r="S124" i="4"/>
  <c r="V124" i="4" s="1"/>
  <c r="S93" i="4"/>
  <c r="V93" i="4" s="1"/>
  <c r="S118" i="4"/>
  <c r="V118" i="4" s="1"/>
  <c r="S41" i="4"/>
  <c r="V41" i="4" s="1"/>
  <c r="S75" i="4"/>
  <c r="V75" i="4" s="1"/>
  <c r="S7" i="4"/>
  <c r="V7" i="4" s="1"/>
  <c r="S106" i="4"/>
  <c r="V106" i="4" s="1"/>
  <c r="S83" i="4"/>
  <c r="V83" i="4" s="1"/>
  <c r="S26" i="4"/>
  <c r="V26" i="4" s="1"/>
  <c r="S30" i="4"/>
  <c r="V30" i="4" s="1"/>
  <c r="S97" i="4"/>
  <c r="V97" i="4" s="1"/>
  <c r="S76" i="4"/>
  <c r="V76" i="4" s="1"/>
  <c r="S127" i="4"/>
  <c r="V127" i="4" s="1"/>
  <c r="S132" i="4"/>
  <c r="V132" i="4" s="1"/>
  <c r="S88" i="4"/>
  <c r="V88" i="4" s="1"/>
  <c r="S34" i="4"/>
  <c r="V34" i="4" s="1"/>
  <c r="S110" i="4"/>
  <c r="V110" i="4" s="1"/>
  <c r="S59" i="4"/>
  <c r="V59" i="4" s="1"/>
  <c r="S114" i="4"/>
  <c r="V114" i="4" s="1"/>
  <c r="S53" i="4"/>
  <c r="V53" i="4" s="1"/>
  <c r="S18" i="4"/>
  <c r="V18" i="4" s="1"/>
  <c r="S42" i="4"/>
  <c r="V42" i="4" s="1"/>
  <c r="S140" i="4"/>
  <c r="V140" i="4" s="1"/>
  <c r="S113" i="4"/>
  <c r="V113" i="4" s="1"/>
  <c r="S123" i="4"/>
  <c r="V123" i="4" s="1"/>
  <c r="S15" i="4"/>
  <c r="V15" i="4" s="1"/>
  <c r="S69" i="4"/>
  <c r="V69" i="4" s="1"/>
  <c r="S87" i="4"/>
  <c r="V87" i="4" s="1"/>
  <c r="S156" i="4"/>
  <c r="V156" i="4" s="1"/>
  <c r="S94" i="4"/>
  <c r="V94" i="4" s="1"/>
  <c r="S20" i="4"/>
  <c r="V20" i="4" s="1"/>
  <c r="S109" i="4"/>
  <c r="V109" i="4" s="1"/>
  <c r="S60" i="4"/>
  <c r="V60" i="4" s="1"/>
  <c r="S86" i="4"/>
  <c r="V86" i="4" s="1"/>
  <c r="S27" i="4"/>
  <c r="V27" i="4" s="1"/>
  <c r="S91" i="4"/>
  <c r="V91" i="4" s="1"/>
  <c r="S77" i="4"/>
  <c r="V77" i="4" s="1"/>
  <c r="S8" i="4"/>
  <c r="V8" i="4" s="1"/>
  <c r="S135" i="4"/>
  <c r="V135" i="4" s="1"/>
  <c r="S136" i="4"/>
  <c r="V136" i="4" s="1"/>
  <c r="S58" i="4"/>
  <c r="V58" i="4" s="1"/>
  <c r="S120" i="4"/>
  <c r="V120" i="4" s="1"/>
  <c r="S47" i="4"/>
  <c r="V47" i="4" s="1"/>
  <c r="S151" i="4"/>
  <c r="V151" i="4" s="1"/>
  <c r="S40" i="4"/>
  <c r="V40" i="4" s="1"/>
  <c r="S32" i="4"/>
  <c r="V32" i="4" s="1"/>
  <c r="S55" i="4"/>
  <c r="V55" i="4" s="1"/>
  <c r="S89" i="4"/>
  <c r="V89" i="4" s="1"/>
  <c r="S153" i="4"/>
  <c r="V153" i="4" s="1"/>
  <c r="S121" i="4"/>
  <c r="V121" i="4" s="1"/>
  <c r="S104" i="4"/>
  <c r="V104" i="4" s="1"/>
  <c r="S129" i="4"/>
  <c r="V129" i="4" s="1"/>
  <c r="S22" i="4"/>
  <c r="V22" i="4" s="1"/>
  <c r="S90" i="4"/>
  <c r="V90" i="4" s="1"/>
  <c r="S105" i="4"/>
  <c r="V105" i="4" s="1"/>
  <c r="S122" i="4"/>
  <c r="V122" i="4" s="1"/>
  <c r="S149" i="4"/>
  <c r="V149" i="4" s="1"/>
  <c r="S147" i="4"/>
  <c r="V147" i="4" s="1"/>
  <c r="S78" i="4"/>
  <c r="V78" i="4" s="1"/>
  <c r="S98" i="4"/>
  <c r="V98" i="4" s="1"/>
  <c r="S125" i="4"/>
  <c r="V125" i="4" s="1"/>
  <c r="S72" i="4"/>
  <c r="V72" i="4" s="1"/>
  <c r="S16" i="4"/>
  <c r="V16" i="4" s="1"/>
  <c r="S29" i="4"/>
  <c r="V29" i="4" s="1"/>
  <c r="S66" i="4"/>
  <c r="V66" i="4" s="1"/>
  <c r="S126" i="4"/>
  <c r="V126" i="4" s="1"/>
  <c r="S82" i="4"/>
  <c r="V82" i="4" s="1"/>
  <c r="S64" i="4"/>
  <c r="V64" i="4" s="1"/>
  <c r="S115" i="4"/>
  <c r="V115" i="4" s="1"/>
  <c r="S45" i="4"/>
  <c r="V45" i="4" s="1"/>
  <c r="S130" i="4"/>
  <c r="V130" i="4" s="1"/>
  <c r="S99" i="4"/>
  <c r="V99" i="4" s="1"/>
  <c r="S23" i="4"/>
  <c r="V23" i="4" s="1"/>
  <c r="S116" i="4"/>
  <c r="V116" i="4" s="1"/>
  <c r="S139" i="4"/>
  <c r="V139" i="4" s="1"/>
  <c r="S146" i="4"/>
  <c r="V146" i="4" s="1"/>
  <c r="S134" i="4"/>
  <c r="V134" i="4" s="1"/>
  <c r="S81" i="4"/>
  <c r="V81" i="4" s="1"/>
  <c r="S43" i="4"/>
  <c r="V43" i="4" s="1"/>
  <c r="S79" i="4"/>
  <c r="V79" i="4" s="1"/>
  <c r="S112" i="4"/>
  <c r="V112" i="4" s="1"/>
  <c r="S137" i="4"/>
  <c r="V137" i="4" s="1"/>
  <c r="S100" i="4"/>
  <c r="V100" i="4" s="1"/>
  <c r="S65" i="4"/>
  <c r="V65" i="4" s="1"/>
  <c r="S11" i="4"/>
  <c r="V11" i="4" s="1"/>
  <c r="S107" i="4"/>
  <c r="V107" i="4" s="1"/>
  <c r="S119" i="4"/>
  <c r="V119" i="4" s="1"/>
  <c r="S85" i="4"/>
  <c r="V85" i="4" s="1"/>
  <c r="S131" i="4"/>
  <c r="V131" i="4" s="1"/>
  <c r="S74" i="4"/>
  <c r="V74" i="4" s="1"/>
  <c r="S63" i="4"/>
  <c r="V63" i="4" s="1"/>
  <c r="B268" i="2"/>
  <c r="B267" i="2"/>
  <c r="B249" i="2"/>
  <c r="B250" i="2"/>
  <c r="B169" i="2"/>
  <c r="W7" i="5"/>
  <c r="Q7" i="5"/>
  <c r="B163" i="2"/>
  <c r="B181" i="2" s="1"/>
  <c r="B80" i="2" l="1"/>
  <c r="B108" i="2"/>
  <c r="H36" i="1" s="1"/>
  <c r="B59" i="2"/>
  <c r="H25" i="1" s="1"/>
  <c r="W79" i="4"/>
  <c r="AM79" i="4"/>
  <c r="W64" i="4"/>
  <c r="Y64" i="4" s="1"/>
  <c r="AR64" i="4" s="1"/>
  <c r="AM64" i="4"/>
  <c r="AM122" i="4"/>
  <c r="W122" i="4"/>
  <c r="AM151" i="4"/>
  <c r="W151" i="4"/>
  <c r="W109" i="4"/>
  <c r="AM109" i="4"/>
  <c r="W53" i="4"/>
  <c r="Y53" i="4" s="1"/>
  <c r="AR53" i="4" s="1"/>
  <c r="AM53" i="4"/>
  <c r="AM83" i="4"/>
  <c r="W83" i="4"/>
  <c r="Y83" i="4" s="1"/>
  <c r="AR83" i="4" s="1"/>
  <c r="W37" i="4"/>
  <c r="Y37" i="4" s="1"/>
  <c r="AR37" i="4" s="1"/>
  <c r="AM37" i="4"/>
  <c r="W50" i="4"/>
  <c r="Y50" i="4" s="1"/>
  <c r="AR50" i="4" s="1"/>
  <c r="AM50" i="4"/>
  <c r="AM28" i="4"/>
  <c r="W28" i="4"/>
  <c r="Y28" i="4" s="1"/>
  <c r="AR28" i="4" s="1"/>
  <c r="W108" i="4"/>
  <c r="AM108" i="4"/>
  <c r="W25" i="4"/>
  <c r="Y25" i="4" s="1"/>
  <c r="AR25" i="4" s="1"/>
  <c r="AM25" i="4"/>
  <c r="W63" i="4"/>
  <c r="AM63" i="4"/>
  <c r="AM119" i="4"/>
  <c r="W119" i="4"/>
  <c r="Y119" i="4" s="1"/>
  <c r="AR119" i="4" s="1"/>
  <c r="AM139" i="4"/>
  <c r="W139" i="4"/>
  <c r="Y139" i="4" s="1"/>
  <c r="AR139" i="4" s="1"/>
  <c r="W16" i="4"/>
  <c r="Y16" i="4" s="1"/>
  <c r="AR16" i="4" s="1"/>
  <c r="AM16" i="4"/>
  <c r="W104" i="4"/>
  <c r="Y104" i="4" s="1"/>
  <c r="AR104" i="4" s="1"/>
  <c r="AM104" i="4"/>
  <c r="AM135" i="4"/>
  <c r="W135" i="4"/>
  <c r="AM69" i="4"/>
  <c r="W69" i="4"/>
  <c r="W88" i="4"/>
  <c r="Y88" i="4" s="1"/>
  <c r="AR88" i="4" s="1"/>
  <c r="AM88" i="4"/>
  <c r="AM97" i="4"/>
  <c r="W97" i="4"/>
  <c r="AM128" i="4"/>
  <c r="W128" i="4"/>
  <c r="W24" i="4"/>
  <c r="Y24" i="4" s="1"/>
  <c r="AR24" i="4" s="1"/>
  <c r="AM24" i="4"/>
  <c r="AM148" i="4"/>
  <c r="W148" i="4"/>
  <c r="W138" i="4"/>
  <c r="Y138" i="4" s="1"/>
  <c r="AR138" i="4" s="1"/>
  <c r="AM138" i="4"/>
  <c r="W150" i="4"/>
  <c r="Y150" i="4" s="1"/>
  <c r="AR150" i="4" s="1"/>
  <c r="AM150" i="4"/>
  <c r="AM80" i="4"/>
  <c r="W80" i="4"/>
  <c r="Y80" i="4" s="1"/>
  <c r="AR80" i="4" s="1"/>
  <c r="AM74" i="4"/>
  <c r="W74" i="4"/>
  <c r="W107" i="4"/>
  <c r="Y107" i="4" s="1"/>
  <c r="AR107" i="4" s="1"/>
  <c r="AM107" i="4"/>
  <c r="W137" i="4"/>
  <c r="AM137" i="4"/>
  <c r="W81" i="4"/>
  <c r="AM81" i="4"/>
  <c r="AM116" i="4"/>
  <c r="W116" i="4"/>
  <c r="AM45" i="4"/>
  <c r="W45" i="4"/>
  <c r="Y45" i="4" s="1"/>
  <c r="AR45" i="4" s="1"/>
  <c r="W126" i="4"/>
  <c r="AM126" i="4"/>
  <c r="AM72" i="4"/>
  <c r="W72" i="4"/>
  <c r="Y72" i="4" s="1"/>
  <c r="AR72" i="4" s="1"/>
  <c r="AM147" i="4"/>
  <c r="W147" i="4"/>
  <c r="Y147" i="4" s="1"/>
  <c r="AR147" i="4" s="1"/>
  <c r="AM90" i="4"/>
  <c r="W90" i="4"/>
  <c r="W121" i="4"/>
  <c r="AM121" i="4"/>
  <c r="AM32" i="4"/>
  <c r="W32" i="4"/>
  <c r="Y32" i="4" s="1"/>
  <c r="AR32" i="4" s="1"/>
  <c r="W120" i="4"/>
  <c r="Y120" i="4" s="1"/>
  <c r="AR120" i="4" s="1"/>
  <c r="AM120" i="4"/>
  <c r="W8" i="4"/>
  <c r="Y8" i="4" s="1"/>
  <c r="AR8" i="4" s="1"/>
  <c r="AM8" i="4"/>
  <c r="AM86" i="4"/>
  <c r="W86" i="4"/>
  <c r="W94" i="4"/>
  <c r="AM94" i="4"/>
  <c r="W15" i="4"/>
  <c r="Y15" i="4" s="1"/>
  <c r="AR15" i="4" s="1"/>
  <c r="AM15" i="4"/>
  <c r="AM42" i="4"/>
  <c r="W42" i="4"/>
  <c r="Y42" i="4" s="1"/>
  <c r="AR42" i="4" s="1"/>
  <c r="W59" i="4"/>
  <c r="AM59" i="4"/>
  <c r="W132" i="4"/>
  <c r="Y132" i="4" s="1"/>
  <c r="AR132" i="4" s="1"/>
  <c r="AM132" i="4"/>
  <c r="W30" i="4"/>
  <c r="Y30" i="4" s="1"/>
  <c r="AR30" i="4" s="1"/>
  <c r="AM30" i="4"/>
  <c r="AM7" i="4"/>
  <c r="W7" i="4"/>
  <c r="Y7" i="4" s="1"/>
  <c r="AR7" i="4" s="1"/>
  <c r="AM93" i="4"/>
  <c r="W93" i="4"/>
  <c r="W17" i="4"/>
  <c r="Y17" i="4" s="1"/>
  <c r="AR17" i="4" s="1"/>
  <c r="AM17" i="4"/>
  <c r="W44" i="4"/>
  <c r="Y44" i="4" s="1"/>
  <c r="AR44" i="4" s="1"/>
  <c r="AM44" i="4"/>
  <c r="AM117" i="4"/>
  <c r="W117" i="4"/>
  <c r="AM101" i="4"/>
  <c r="W101" i="4"/>
  <c r="W145" i="4"/>
  <c r="AM145" i="4"/>
  <c r="AM52" i="4"/>
  <c r="W52" i="4"/>
  <c r="Y52" i="4" s="1"/>
  <c r="AR52" i="4" s="1"/>
  <c r="AM33" i="4"/>
  <c r="W33" i="4"/>
  <c r="Y33" i="4" s="1"/>
  <c r="AR33" i="4" s="1"/>
  <c r="AM14" i="4"/>
  <c r="W14" i="4"/>
  <c r="Y14" i="4" s="1"/>
  <c r="AR14" i="4" s="1"/>
  <c r="AM31" i="4"/>
  <c r="W31" i="4"/>
  <c r="Y31" i="4" s="1"/>
  <c r="AR31" i="4" s="1"/>
  <c r="W143" i="4"/>
  <c r="AM143" i="4"/>
  <c r="W141" i="4"/>
  <c r="AM141" i="4"/>
  <c r="AM36" i="4"/>
  <c r="W36" i="4"/>
  <c r="Y36" i="4" s="1"/>
  <c r="AR36" i="4" s="1"/>
  <c r="AM67" i="4"/>
  <c r="W67" i="4"/>
  <c r="W154" i="4"/>
  <c r="AM154" i="4"/>
  <c r="W61" i="4"/>
  <c r="AM61" i="4"/>
  <c r="AA10" i="5"/>
  <c r="AB10" i="5"/>
  <c r="BA10" i="5"/>
  <c r="BB10" i="5"/>
  <c r="H32" i="1"/>
  <c r="B97" i="2"/>
  <c r="AM85" i="4"/>
  <c r="W85" i="4"/>
  <c r="AM99" i="4"/>
  <c r="W99" i="4"/>
  <c r="Y99" i="4" s="1"/>
  <c r="AR99" i="4" s="1"/>
  <c r="W29" i="4"/>
  <c r="Y29" i="4" s="1"/>
  <c r="AR29" i="4" s="1"/>
  <c r="AM29" i="4"/>
  <c r="W89" i="4"/>
  <c r="AM89" i="4"/>
  <c r="AM91" i="4"/>
  <c r="W91" i="4"/>
  <c r="Y91" i="4" s="1"/>
  <c r="AR91" i="4" s="1"/>
  <c r="W113" i="4"/>
  <c r="AM113" i="4"/>
  <c r="AM76" i="4"/>
  <c r="W76" i="4"/>
  <c r="W41" i="4"/>
  <c r="Y41" i="4" s="1"/>
  <c r="AR41" i="4" s="1"/>
  <c r="AM41" i="4"/>
  <c r="AM96" i="4"/>
  <c r="W96" i="4"/>
  <c r="AM56" i="4"/>
  <c r="W56" i="4"/>
  <c r="AM102" i="4"/>
  <c r="W102" i="4"/>
  <c r="AM95" i="4"/>
  <c r="W95" i="4"/>
  <c r="W43" i="4"/>
  <c r="Y43" i="4" s="1"/>
  <c r="AR43" i="4" s="1"/>
  <c r="AM43" i="4"/>
  <c r="W82" i="4"/>
  <c r="AM82" i="4"/>
  <c r="AM105" i="4"/>
  <c r="W105" i="4"/>
  <c r="W47" i="4"/>
  <c r="Y47" i="4" s="1"/>
  <c r="AR47" i="4" s="1"/>
  <c r="AM47" i="4"/>
  <c r="W20" i="4"/>
  <c r="Y20" i="4" s="1"/>
  <c r="AR20" i="4" s="1"/>
  <c r="AM20" i="4"/>
  <c r="W114" i="4"/>
  <c r="AM114" i="4"/>
  <c r="AM118" i="4"/>
  <c r="W118" i="4"/>
  <c r="AM144" i="4"/>
  <c r="W144" i="4"/>
  <c r="W84" i="4"/>
  <c r="Y84" i="4" s="1"/>
  <c r="AR84" i="4" s="1"/>
  <c r="AM84" i="4"/>
  <c r="W70" i="4"/>
  <c r="Y70" i="4" s="1"/>
  <c r="AR70" i="4" s="1"/>
  <c r="AM70" i="4"/>
  <c r="AM54" i="4"/>
  <c r="W54" i="4"/>
  <c r="AM131" i="4"/>
  <c r="W131" i="4"/>
  <c r="W11" i="4"/>
  <c r="Y11" i="4" s="1"/>
  <c r="AR11" i="4" s="1"/>
  <c r="AM11" i="4"/>
  <c r="AM112" i="4"/>
  <c r="W112" i="4"/>
  <c r="W134" i="4"/>
  <c r="AM134" i="4"/>
  <c r="W23" i="4"/>
  <c r="Y23" i="4" s="1"/>
  <c r="AR23" i="4" s="1"/>
  <c r="AM23" i="4"/>
  <c r="AM115" i="4"/>
  <c r="W115" i="4"/>
  <c r="Y115" i="4" s="1"/>
  <c r="AR115" i="4" s="1"/>
  <c r="W66" i="4"/>
  <c r="AM66" i="4"/>
  <c r="AM125" i="4"/>
  <c r="W125" i="4"/>
  <c r="AM149" i="4"/>
  <c r="W149" i="4"/>
  <c r="W22" i="4"/>
  <c r="Y22" i="4" s="1"/>
  <c r="AR22" i="4" s="1"/>
  <c r="AM22" i="4"/>
  <c r="AM153" i="4"/>
  <c r="W153" i="4"/>
  <c r="Y153" i="4" s="1"/>
  <c r="AR153" i="4" s="1"/>
  <c r="W40" i="4"/>
  <c r="Y40" i="4" s="1"/>
  <c r="AR40" i="4" s="1"/>
  <c r="AM40" i="4"/>
  <c r="AM58" i="4"/>
  <c r="W58" i="4"/>
  <c r="AM77" i="4"/>
  <c r="W77" i="4"/>
  <c r="W60" i="4"/>
  <c r="AM60" i="4"/>
  <c r="W156" i="4"/>
  <c r="AM156" i="4"/>
  <c r="W123" i="4"/>
  <c r="AM123" i="4"/>
  <c r="AM18" i="4"/>
  <c r="W18" i="4"/>
  <c r="Y18" i="4" s="1"/>
  <c r="AR18" i="4" s="1"/>
  <c r="W110" i="4"/>
  <c r="AM110" i="4"/>
  <c r="AM127" i="4"/>
  <c r="W127" i="4"/>
  <c r="W26" i="4"/>
  <c r="Y26" i="4" s="1"/>
  <c r="AR26" i="4" s="1"/>
  <c r="AM26" i="4"/>
  <c r="AM75" i="4"/>
  <c r="W75" i="4"/>
  <c r="W124" i="4"/>
  <c r="AM124" i="4"/>
  <c r="AM38" i="4"/>
  <c r="W38" i="4"/>
  <c r="Y38" i="4" s="1"/>
  <c r="AR38" i="4" s="1"/>
  <c r="AM152" i="4"/>
  <c r="W152" i="4"/>
  <c r="AM133" i="4"/>
  <c r="W133" i="4"/>
  <c r="W73" i="4"/>
  <c r="AM73" i="4"/>
  <c r="AM92" i="4"/>
  <c r="W92" i="4"/>
  <c r="AM155" i="4"/>
  <c r="W155" i="4"/>
  <c r="W13" i="4"/>
  <c r="Y13" i="4" s="1"/>
  <c r="AR13" i="4" s="1"/>
  <c r="AM13" i="4"/>
  <c r="W157" i="4"/>
  <c r="Y157" i="4" s="1"/>
  <c r="AR157" i="4" s="1"/>
  <c r="AM157" i="4"/>
  <c r="AM111" i="4"/>
  <c r="W111" i="4"/>
  <c r="W49" i="4"/>
  <c r="Y49" i="4" s="1"/>
  <c r="AR49" i="4" s="1"/>
  <c r="AM49" i="4"/>
  <c r="AM19" i="4"/>
  <c r="W19" i="4"/>
  <c r="Y19" i="4" s="1"/>
  <c r="AR19" i="4" s="1"/>
  <c r="W71" i="4"/>
  <c r="Y71" i="4" s="1"/>
  <c r="AR71" i="4" s="1"/>
  <c r="AM71" i="4"/>
  <c r="AM103" i="4"/>
  <c r="W103" i="4"/>
  <c r="Y103" i="4" s="1"/>
  <c r="AR103" i="4" s="1"/>
  <c r="W12" i="4"/>
  <c r="Y12" i="4" s="1"/>
  <c r="AR12" i="4" s="1"/>
  <c r="AM12" i="4"/>
  <c r="W21" i="4"/>
  <c r="Y21" i="4" s="1"/>
  <c r="AR21" i="4" s="1"/>
  <c r="AM21" i="4"/>
  <c r="AL10" i="5"/>
  <c r="AK10" i="5"/>
  <c r="AX10" i="5"/>
  <c r="AY10" i="5"/>
  <c r="U10" i="5"/>
  <c r="V10" i="5"/>
  <c r="AM65" i="4"/>
  <c r="W65" i="4"/>
  <c r="AM146" i="4"/>
  <c r="W146" i="4"/>
  <c r="Y146" i="4" s="1"/>
  <c r="AR146" i="4" s="1"/>
  <c r="W98" i="4"/>
  <c r="AM98" i="4"/>
  <c r="AM129" i="4"/>
  <c r="W129" i="4"/>
  <c r="AM136" i="4"/>
  <c r="W136" i="4"/>
  <c r="W87" i="4"/>
  <c r="Y87" i="4" s="1"/>
  <c r="AR87" i="4" s="1"/>
  <c r="AM87" i="4"/>
  <c r="W34" i="4"/>
  <c r="Y34" i="4" s="1"/>
  <c r="AR34" i="4" s="1"/>
  <c r="AM34" i="4"/>
  <c r="W48" i="4"/>
  <c r="Y48" i="4" s="1"/>
  <c r="AR48" i="4" s="1"/>
  <c r="AM48" i="4"/>
  <c r="W68" i="4"/>
  <c r="Y68" i="4" s="1"/>
  <c r="AR68" i="4" s="1"/>
  <c r="AM68" i="4"/>
  <c r="AM46" i="4"/>
  <c r="W46" i="4"/>
  <c r="Y46" i="4" s="1"/>
  <c r="AR46" i="4" s="1"/>
  <c r="AM62" i="4"/>
  <c r="W62" i="4"/>
  <c r="W39" i="4"/>
  <c r="Y39" i="4" s="1"/>
  <c r="AR39" i="4" s="1"/>
  <c r="AM39" i="4"/>
  <c r="W9" i="4"/>
  <c r="Y9" i="4" s="1"/>
  <c r="AR9" i="4" s="1"/>
  <c r="AM9" i="4"/>
  <c r="AM100" i="4"/>
  <c r="W100" i="4"/>
  <c r="Y100" i="4" s="1"/>
  <c r="AR100" i="4" s="1"/>
  <c r="AM130" i="4"/>
  <c r="W130" i="4"/>
  <c r="AM78" i="4"/>
  <c r="W78" i="4"/>
  <c r="W55" i="4"/>
  <c r="AM55" i="4"/>
  <c r="W27" i="4"/>
  <c r="Y27" i="4" s="1"/>
  <c r="AR27" i="4" s="1"/>
  <c r="AM27" i="4"/>
  <c r="AM140" i="4"/>
  <c r="W140" i="4"/>
  <c r="W106" i="4"/>
  <c r="AM106" i="4"/>
  <c r="W35" i="4"/>
  <c r="Y35" i="4" s="1"/>
  <c r="AR35" i="4" s="1"/>
  <c r="AM35" i="4"/>
  <c r="W10" i="4"/>
  <c r="Y10" i="4" s="1"/>
  <c r="AR10" i="4" s="1"/>
  <c r="AM10" i="4"/>
  <c r="W51" i="4"/>
  <c r="Y51" i="4" s="1"/>
  <c r="AR51" i="4" s="1"/>
  <c r="AM51" i="4"/>
  <c r="W57" i="4"/>
  <c r="AM57" i="4"/>
  <c r="AM142" i="4"/>
  <c r="W142" i="4"/>
  <c r="AV10" i="5"/>
  <c r="AU10" i="5"/>
  <c r="BC10" i="5"/>
  <c r="B64" i="2"/>
  <c r="B66" i="2"/>
  <c r="B67" i="2" s="1"/>
  <c r="AV107" i="4"/>
  <c r="U107" i="4"/>
  <c r="AV116" i="4"/>
  <c r="U116" i="4"/>
  <c r="AV45" i="4"/>
  <c r="U45" i="4"/>
  <c r="AV72" i="4"/>
  <c r="U72" i="4"/>
  <c r="AV90" i="4"/>
  <c r="U90" i="4"/>
  <c r="AV32" i="4"/>
  <c r="U32" i="4"/>
  <c r="AV86" i="4"/>
  <c r="U86" i="4"/>
  <c r="AV42" i="4"/>
  <c r="U42" i="4"/>
  <c r="AV132" i="4"/>
  <c r="U132" i="4"/>
  <c r="U7" i="4"/>
  <c r="AV7" i="4"/>
  <c r="AV17" i="4"/>
  <c r="U17" i="4"/>
  <c r="U101" i="4"/>
  <c r="AV101" i="4"/>
  <c r="AV52" i="4"/>
  <c r="U52" i="4"/>
  <c r="AV14" i="4"/>
  <c r="U14" i="4"/>
  <c r="AV143" i="4"/>
  <c r="U143" i="4"/>
  <c r="AV36" i="4"/>
  <c r="U36" i="4"/>
  <c r="AV154" i="4"/>
  <c r="U154" i="4"/>
  <c r="X185" i="5"/>
  <c r="Y185" i="5"/>
  <c r="X310" i="5"/>
  <c r="Y310" i="5"/>
  <c r="X264" i="5"/>
  <c r="Y264" i="5"/>
  <c r="Y202" i="5"/>
  <c r="X202" i="5"/>
  <c r="X489" i="5"/>
  <c r="Y489" i="5"/>
  <c r="Y250" i="5"/>
  <c r="X250" i="5"/>
  <c r="X232" i="5"/>
  <c r="Y232" i="5"/>
  <c r="X431" i="5"/>
  <c r="Y431" i="5"/>
  <c r="Y363" i="5"/>
  <c r="X363" i="5"/>
  <c r="Y51" i="5"/>
  <c r="X51" i="5"/>
  <c r="X107" i="5"/>
  <c r="Y107" i="5"/>
  <c r="X225" i="5"/>
  <c r="Y225" i="5"/>
  <c r="X91" i="5"/>
  <c r="Y91" i="5"/>
  <c r="X132" i="5"/>
  <c r="Y132" i="5"/>
  <c r="X12" i="5"/>
  <c r="Y12" i="5"/>
  <c r="X258" i="5"/>
  <c r="Y258" i="5"/>
  <c r="Y513" i="5"/>
  <c r="X513" i="5"/>
  <c r="Y316" i="5"/>
  <c r="X316" i="5"/>
  <c r="X512" i="5"/>
  <c r="Y512" i="5"/>
  <c r="X100" i="5"/>
  <c r="Y100" i="5"/>
  <c r="X347" i="5"/>
  <c r="Y347" i="5"/>
  <c r="Y533" i="5"/>
  <c r="X533" i="5"/>
  <c r="X111" i="5"/>
  <c r="Y111" i="5"/>
  <c r="X303" i="5"/>
  <c r="Y303" i="5"/>
  <c r="X197" i="5"/>
  <c r="Y197" i="5"/>
  <c r="Y176" i="5"/>
  <c r="X176" i="5"/>
  <c r="Y367" i="5"/>
  <c r="X367" i="5"/>
  <c r="X141" i="5"/>
  <c r="Y141" i="5"/>
  <c r="X211" i="5"/>
  <c r="Y211" i="5"/>
  <c r="Y35" i="5"/>
  <c r="X35" i="5"/>
  <c r="X502" i="5"/>
  <c r="Y502" i="5"/>
  <c r="X95" i="5"/>
  <c r="Y95" i="5"/>
  <c r="Y407" i="5"/>
  <c r="X407" i="5"/>
  <c r="X172" i="5"/>
  <c r="Y172" i="5"/>
  <c r="X203" i="5"/>
  <c r="Y203" i="5"/>
  <c r="Y323" i="5"/>
  <c r="X323" i="5"/>
  <c r="Y28" i="5"/>
  <c r="X28" i="5"/>
  <c r="Y515" i="5"/>
  <c r="X515" i="5"/>
  <c r="Y255" i="5"/>
  <c r="X255" i="5"/>
  <c r="Y522" i="5"/>
  <c r="X522" i="5"/>
  <c r="X237" i="5"/>
  <c r="Y237" i="5"/>
  <c r="Y98" i="5"/>
  <c r="X98" i="5"/>
  <c r="Y233" i="5"/>
  <c r="X233" i="5"/>
  <c r="Y165" i="5"/>
  <c r="X165" i="5"/>
  <c r="X267" i="5"/>
  <c r="Y267" i="5"/>
  <c r="X173" i="5"/>
  <c r="Y173" i="5"/>
  <c r="X368" i="5"/>
  <c r="Y368" i="5"/>
  <c r="X215" i="5"/>
  <c r="Y215" i="5"/>
  <c r="X19" i="5"/>
  <c r="Y19" i="5"/>
  <c r="Y101" i="5"/>
  <c r="X101" i="5"/>
  <c r="Y480" i="5"/>
  <c r="X480" i="5"/>
  <c r="Y180" i="5"/>
  <c r="X180" i="5"/>
  <c r="Y418" i="5"/>
  <c r="X418" i="5"/>
  <c r="Y10" i="5"/>
  <c r="X10" i="5"/>
  <c r="X179" i="5"/>
  <c r="Y179" i="5"/>
  <c r="Y187" i="5"/>
  <c r="X187" i="5"/>
  <c r="Y343" i="5"/>
  <c r="X343" i="5"/>
  <c r="X388" i="5"/>
  <c r="Y388" i="5"/>
  <c r="X151" i="5"/>
  <c r="Y151" i="5"/>
  <c r="X23" i="5"/>
  <c r="Y23" i="5"/>
  <c r="X501" i="5"/>
  <c r="Y501" i="5"/>
  <c r="Y376" i="5"/>
  <c r="X376" i="5"/>
  <c r="X400" i="5"/>
  <c r="Y400" i="5"/>
  <c r="Y7" i="5"/>
  <c r="X7" i="5"/>
  <c r="AV131" i="4"/>
  <c r="U131" i="4"/>
  <c r="AV11" i="4"/>
  <c r="U11" i="4"/>
  <c r="AV112" i="4"/>
  <c r="U112" i="4"/>
  <c r="AV134" i="4"/>
  <c r="U134" i="4"/>
  <c r="AV23" i="4"/>
  <c r="U23" i="4"/>
  <c r="AV115" i="4"/>
  <c r="U115" i="4"/>
  <c r="AV66" i="4"/>
  <c r="U66" i="4"/>
  <c r="AV125" i="4"/>
  <c r="U125" i="4"/>
  <c r="AV149" i="4"/>
  <c r="U149" i="4"/>
  <c r="AV22" i="4"/>
  <c r="U22" i="4"/>
  <c r="AV153" i="4"/>
  <c r="U153" i="4"/>
  <c r="AV40" i="4"/>
  <c r="U40" i="4"/>
  <c r="AV58" i="4"/>
  <c r="U58" i="4"/>
  <c r="AV77" i="4"/>
  <c r="U77" i="4"/>
  <c r="AV60" i="4"/>
  <c r="U60" i="4"/>
  <c r="AV156" i="4"/>
  <c r="U156" i="4"/>
  <c r="AV123" i="4"/>
  <c r="U123" i="4"/>
  <c r="AV18" i="4"/>
  <c r="U18" i="4"/>
  <c r="AV110" i="4"/>
  <c r="U110" i="4"/>
  <c r="AV127" i="4"/>
  <c r="U127" i="4"/>
  <c r="AV26" i="4"/>
  <c r="U26" i="4"/>
  <c r="U75" i="4"/>
  <c r="AV75" i="4"/>
  <c r="AV124" i="4"/>
  <c r="U124" i="4"/>
  <c r="AV38" i="4"/>
  <c r="U38" i="4"/>
  <c r="AV152" i="4"/>
  <c r="U152" i="4"/>
  <c r="AV133" i="4"/>
  <c r="U133" i="4"/>
  <c r="AV73" i="4"/>
  <c r="U73" i="4"/>
  <c r="AV92" i="4"/>
  <c r="U92" i="4"/>
  <c r="AV155" i="4"/>
  <c r="U155" i="4"/>
  <c r="AV13" i="4"/>
  <c r="U13" i="4"/>
  <c r="AV157" i="4"/>
  <c r="U157" i="4"/>
  <c r="AV111" i="4"/>
  <c r="U111" i="4"/>
  <c r="AV49" i="4"/>
  <c r="U49" i="4"/>
  <c r="AV19" i="4"/>
  <c r="U19" i="4"/>
  <c r="AV71" i="4"/>
  <c r="U71" i="4"/>
  <c r="U103" i="4"/>
  <c r="AV103" i="4"/>
  <c r="AV12" i="4"/>
  <c r="U12" i="4"/>
  <c r="AV21" i="4"/>
  <c r="U21" i="4"/>
  <c r="AG393" i="5"/>
  <c r="AG181" i="5"/>
  <c r="AG352" i="5"/>
  <c r="AG96" i="5"/>
  <c r="AG367" i="5"/>
  <c r="AG324" i="5"/>
  <c r="AG72" i="5"/>
  <c r="AG220" i="5"/>
  <c r="AG158" i="5"/>
  <c r="AG463" i="5"/>
  <c r="AG184" i="5"/>
  <c r="AG247" i="5"/>
  <c r="AG164" i="5"/>
  <c r="B74" i="5"/>
  <c r="AG88" i="5"/>
  <c r="AG134" i="5"/>
  <c r="AG192" i="5"/>
  <c r="AG165" i="5"/>
  <c r="AG13" i="5"/>
  <c r="AG411" i="5"/>
  <c r="AG298" i="5"/>
  <c r="AG29" i="5"/>
  <c r="AG155" i="5"/>
  <c r="AG112" i="5"/>
  <c r="AG213" i="5"/>
  <c r="AG84" i="5"/>
  <c r="AG374" i="5"/>
  <c r="AG186" i="5"/>
  <c r="AG274" i="5"/>
  <c r="AG89" i="5"/>
  <c r="AG450" i="5"/>
  <c r="AG448" i="5"/>
  <c r="AG483" i="5"/>
  <c r="AG94" i="5"/>
  <c r="AG30" i="5"/>
  <c r="AG236" i="5"/>
  <c r="AG321" i="5"/>
  <c r="AG170" i="5"/>
  <c r="AG98" i="5"/>
  <c r="AG416" i="5"/>
  <c r="AG378" i="5"/>
  <c r="AG22" i="5"/>
  <c r="AG243" i="5"/>
  <c r="AG116" i="5"/>
  <c r="AG66" i="5"/>
  <c r="AG377" i="5"/>
  <c r="AG110" i="5"/>
  <c r="AG195" i="5"/>
  <c r="AG355" i="5"/>
  <c r="AG219" i="5"/>
  <c r="AG149" i="5"/>
  <c r="AG35" i="5"/>
  <c r="AG143" i="5"/>
  <c r="AG360" i="5"/>
  <c r="AG252" i="5"/>
  <c r="AG468" i="5"/>
  <c r="AG269" i="5"/>
  <c r="AG266" i="5"/>
  <c r="AG150" i="5"/>
  <c r="AG451" i="5"/>
  <c r="AG364" i="5"/>
  <c r="AG383" i="5"/>
  <c r="AG182" i="5"/>
  <c r="AG496" i="5"/>
  <c r="AG510" i="5"/>
  <c r="AG46" i="5"/>
  <c r="AG418" i="5"/>
  <c r="AG199" i="5"/>
  <c r="AG81" i="5"/>
  <c r="AG71" i="5"/>
  <c r="AG249" i="5"/>
  <c r="AG459" i="5"/>
  <c r="AG331" i="5"/>
  <c r="AG441" i="5"/>
  <c r="AG508" i="5"/>
  <c r="AG458" i="5"/>
  <c r="AG506" i="5"/>
  <c r="AG144" i="5"/>
  <c r="AG351" i="5"/>
  <c r="AG261" i="5"/>
  <c r="AG407" i="5"/>
  <c r="AG348" i="5"/>
  <c r="AG500" i="5"/>
  <c r="AG415" i="5"/>
  <c r="AG344" i="5"/>
  <c r="AG555" i="5"/>
  <c r="AG193" i="5"/>
  <c r="AG54" i="5"/>
  <c r="AG521" i="5"/>
  <c r="AG73" i="5"/>
  <c r="AG311" i="5"/>
  <c r="AG163" i="5"/>
  <c r="AG504" i="5"/>
  <c r="AG542" i="5"/>
  <c r="AG475" i="5"/>
  <c r="AG502" i="5"/>
  <c r="AG467" i="5"/>
  <c r="AG205" i="5"/>
  <c r="AG400" i="5"/>
  <c r="AG420" i="5"/>
  <c r="AG290" i="5"/>
  <c r="AG47" i="5"/>
  <c r="AG145" i="5"/>
  <c r="AG267" i="5"/>
  <c r="AG361" i="5"/>
  <c r="AG142" i="5"/>
  <c r="AG183" i="5"/>
  <c r="AG226" i="5"/>
  <c r="AG187" i="5"/>
  <c r="AG75" i="5"/>
  <c r="AG68" i="5"/>
  <c r="AG52" i="5"/>
  <c r="AG224" i="5"/>
  <c r="AG547" i="5"/>
  <c r="AG190" i="5"/>
  <c r="AG173" i="5"/>
  <c r="AG437" i="5"/>
  <c r="AG436" i="5"/>
  <c r="AG172" i="5"/>
  <c r="AG40" i="5"/>
  <c r="AG336" i="5"/>
  <c r="AG390" i="5"/>
  <c r="AG202" i="5"/>
  <c r="AG534" i="5"/>
  <c r="AG365" i="5"/>
  <c r="AG325" i="5"/>
  <c r="AG117" i="5"/>
  <c r="AG526" i="5"/>
  <c r="AG453" i="5"/>
  <c r="AG97" i="5"/>
  <c r="AG101" i="5"/>
  <c r="AG515" i="5"/>
  <c r="AG303" i="5"/>
  <c r="AG211" i="5"/>
  <c r="AG301" i="5"/>
  <c r="AG215" i="5"/>
  <c r="AG412" i="5"/>
  <c r="AG295" i="5"/>
  <c r="AG346" i="5"/>
  <c r="AG402" i="5"/>
  <c r="AG42" i="5"/>
  <c r="AG503" i="5"/>
  <c r="AG449" i="5"/>
  <c r="AG85" i="5"/>
  <c r="AG131" i="5"/>
  <c r="AG111" i="5"/>
  <c r="AG532" i="5"/>
  <c r="AG341" i="5"/>
  <c r="AG241" i="5"/>
  <c r="AG345" i="5"/>
  <c r="AG263" i="5"/>
  <c r="AG444" i="5"/>
  <c r="AG105" i="5"/>
  <c r="AG552" i="5"/>
  <c r="AG357" i="5"/>
  <c r="AG371" i="5"/>
  <c r="AG498" i="5"/>
  <c r="AG93" i="5"/>
  <c r="AG197" i="5"/>
  <c r="AG27" i="5"/>
  <c r="AG80" i="5"/>
  <c r="AG115" i="5"/>
  <c r="AG489" i="5"/>
  <c r="AG442" i="5"/>
  <c r="AG476" i="5"/>
  <c r="AG531" i="5"/>
  <c r="AG545" i="5"/>
  <c r="AG512" i="5"/>
  <c r="AG445" i="5"/>
  <c r="AG353" i="5"/>
  <c r="AG179" i="5"/>
  <c r="AG39" i="5"/>
  <c r="AG235" i="5"/>
  <c r="AG491" i="5"/>
  <c r="AG537" i="5"/>
  <c r="AG517" i="5"/>
  <c r="AG394" i="5"/>
  <c r="AG25" i="5"/>
  <c r="AG139" i="5"/>
  <c r="AG315" i="5"/>
  <c r="AG556" i="5"/>
  <c r="AG369" i="5"/>
  <c r="AG559" i="5"/>
  <c r="AG388" i="5"/>
  <c r="AG434" i="5"/>
  <c r="AG514" i="5"/>
  <c r="AG44" i="5"/>
  <c r="AG160" i="5"/>
  <c r="AG466" i="5"/>
  <c r="AG395" i="5"/>
  <c r="AG191" i="5"/>
  <c r="AG140" i="5"/>
  <c r="AG478" i="5"/>
  <c r="AG76" i="5"/>
  <c r="AG95" i="5"/>
  <c r="AG350" i="5"/>
  <c r="AG106" i="5"/>
  <c r="AG340" i="5"/>
  <c r="AG232" i="5"/>
  <c r="AG404" i="5"/>
  <c r="AG318" i="5"/>
  <c r="AG276" i="5"/>
  <c r="AG544" i="5"/>
  <c r="AG379" i="5"/>
  <c r="AG399" i="5"/>
  <c r="AG154" i="5"/>
  <c r="AG471" i="5"/>
  <c r="AG138" i="5"/>
  <c r="AG372" i="5"/>
  <c r="AG530" i="5"/>
  <c r="AG157" i="5"/>
  <c r="AG20" i="5"/>
  <c r="AG306" i="5"/>
  <c r="AG322" i="5"/>
  <c r="AG148" i="5"/>
  <c r="AG310" i="5"/>
  <c r="AG465" i="5"/>
  <c r="AG258" i="5"/>
  <c r="AG501" i="5"/>
  <c r="AG147" i="5"/>
  <c r="AG285" i="5"/>
  <c r="AG505" i="5"/>
  <c r="AG49" i="5"/>
  <c r="AG535" i="5"/>
  <c r="AG177" i="5"/>
  <c r="AG329" i="5"/>
  <c r="AG487" i="5"/>
  <c r="AG440" i="5"/>
  <c r="AG278" i="5"/>
  <c r="AG171" i="5"/>
  <c r="AG474" i="5"/>
  <c r="AG438" i="5"/>
  <c r="AG273" i="5"/>
  <c r="AG349" i="5"/>
  <c r="AG516" i="5"/>
  <c r="AG507" i="5"/>
  <c r="AG433" i="5"/>
  <c r="AG107" i="5"/>
  <c r="AG86" i="5"/>
  <c r="AG53" i="5"/>
  <c r="AG221" i="5"/>
  <c r="AG79" i="5"/>
  <c r="AG533" i="5"/>
  <c r="AG370" i="5"/>
  <c r="AG100" i="5"/>
  <c r="AG12" i="5"/>
  <c r="AG338" i="5"/>
  <c r="AG228" i="5"/>
  <c r="AG282" i="5"/>
  <c r="AG188" i="5"/>
  <c r="AG122" i="5"/>
  <c r="AG426" i="5"/>
  <c r="AG166" i="5"/>
  <c r="AG334" i="5"/>
  <c r="AG246" i="5"/>
  <c r="AG203" i="5"/>
  <c r="AG244" i="5"/>
  <c r="AG366" i="5"/>
  <c r="AG135" i="5"/>
  <c r="AG114" i="5"/>
  <c r="AG391" i="5"/>
  <c r="AG271" i="5"/>
  <c r="AG169" i="5"/>
  <c r="AG196" i="5"/>
  <c r="AG41" i="5"/>
  <c r="AG527" i="5"/>
  <c r="AG528" i="5"/>
  <c r="AG132" i="5"/>
  <c r="AG330" i="5"/>
  <c r="AG55" i="5"/>
  <c r="AG245" i="5"/>
  <c r="AG206" i="5"/>
  <c r="AG408" i="5"/>
  <c r="AG262" i="5"/>
  <c r="AG461" i="5"/>
  <c r="AG470" i="5"/>
  <c r="AG541" i="5"/>
  <c r="AG396" i="5"/>
  <c r="AG477" i="5"/>
  <c r="AG554" i="5"/>
  <c r="AG121" i="5"/>
  <c r="AG33" i="5"/>
  <c r="AG485" i="5"/>
  <c r="AG64" i="5"/>
  <c r="AG230" i="5"/>
  <c r="AG120" i="5"/>
  <c r="AG137" i="5"/>
  <c r="AG289" i="5"/>
  <c r="AG560" i="5"/>
  <c r="AG540" i="5"/>
  <c r="AG223" i="5"/>
  <c r="AG287" i="5"/>
  <c r="AG189" i="5"/>
  <c r="AG61" i="5"/>
  <c r="AG387" i="5"/>
  <c r="AG293" i="5"/>
  <c r="AG439" i="5"/>
  <c r="AG422" i="5"/>
  <c r="AG525" i="5"/>
  <c r="AG380" i="5"/>
  <c r="AG292" i="5"/>
  <c r="AG494" i="5"/>
  <c r="AG104" i="5"/>
  <c r="AG119" i="5"/>
  <c r="AG34" i="5"/>
  <c r="AG495" i="5"/>
  <c r="AG279" i="5"/>
  <c r="AG397" i="5"/>
  <c r="AG259" i="5"/>
  <c r="AG410" i="5"/>
  <c r="AG109" i="5"/>
  <c r="AG339" i="5"/>
  <c r="AG354" i="5"/>
  <c r="AG45" i="5"/>
  <c r="AG256" i="5"/>
  <c r="AG26" i="5"/>
  <c r="AG82" i="5"/>
  <c r="AG430" i="5"/>
  <c r="AG65" i="5"/>
  <c r="AG307" i="5"/>
  <c r="AG208" i="5"/>
  <c r="AG314" i="5"/>
  <c r="AG214" i="5"/>
  <c r="AG456" i="5"/>
  <c r="AG136" i="5"/>
  <c r="AG543" i="5"/>
  <c r="AG304" i="5"/>
  <c r="AG272" i="5"/>
  <c r="AG48" i="5"/>
  <c r="AG457" i="5"/>
  <c r="AG180" i="5"/>
  <c r="AG62" i="5"/>
  <c r="AG405" i="5"/>
  <c r="AG553" i="5"/>
  <c r="AG275" i="5"/>
  <c r="AG257" i="5"/>
  <c r="AG233" i="5"/>
  <c r="AG37" i="5"/>
  <c r="AG99" i="5"/>
  <c r="AG58" i="5"/>
  <c r="AG239" i="5"/>
  <c r="AG429" i="5"/>
  <c r="AG201" i="5"/>
  <c r="AG67" i="5"/>
  <c r="AG36" i="5"/>
  <c r="AG60" i="5"/>
  <c r="AG227" i="5"/>
  <c r="AG92" i="5"/>
  <c r="AG43" i="5"/>
  <c r="AG337" i="5"/>
  <c r="AG251" i="5"/>
  <c r="AG432" i="5"/>
  <c r="AG519" i="5"/>
  <c r="AG392" i="5"/>
  <c r="AG305" i="5"/>
  <c r="AG469" i="5"/>
  <c r="AG493" i="5"/>
  <c r="AG320" i="5"/>
  <c r="AG481" i="5"/>
  <c r="AG490" i="5"/>
  <c r="AG21" i="5"/>
  <c r="AG300" i="5"/>
  <c r="AG124" i="5"/>
  <c r="AG435" i="5"/>
  <c r="AG447" i="5"/>
  <c r="AG123" i="5"/>
  <c r="AG332" i="5"/>
  <c r="AG240" i="5"/>
  <c r="AG87" i="5"/>
  <c r="AG102" i="5"/>
  <c r="AG452" i="5"/>
  <c r="AG520" i="5"/>
  <c r="AG425" i="5"/>
  <c r="AG381" i="5"/>
  <c r="AG492" i="5"/>
  <c r="AG359" i="5"/>
  <c r="AG462" i="5"/>
  <c r="AG294" i="5"/>
  <c r="AG277" i="5"/>
  <c r="AG557" i="5"/>
  <c r="AG317" i="5"/>
  <c r="AG523" i="5"/>
  <c r="AG130" i="5"/>
  <c r="AG128" i="5"/>
  <c r="AG253" i="5"/>
  <c r="AG57" i="5"/>
  <c r="AG362" i="5"/>
  <c r="AG486" i="5"/>
  <c r="AG10" i="5"/>
  <c r="AG242" i="5"/>
  <c r="AG428" i="5"/>
  <c r="AG141" i="5"/>
  <c r="AG59" i="5"/>
  <c r="AG327" i="5"/>
  <c r="AG185" i="5"/>
  <c r="AG209" i="5"/>
  <c r="AG319" i="5"/>
  <c r="AG255" i="5"/>
  <c r="AG129" i="5"/>
  <c r="AG175" i="5"/>
  <c r="AG63" i="5"/>
  <c r="AG347" i="5"/>
  <c r="AG238" i="5"/>
  <c r="AG419" i="5"/>
  <c r="AG382" i="5"/>
  <c r="AG316" i="5"/>
  <c r="AG363" i="5"/>
  <c r="AG151" i="5"/>
  <c r="AG499" i="5"/>
  <c r="AG356" i="5"/>
  <c r="AG159" i="5"/>
  <c r="AG312" i="5"/>
  <c r="AG146" i="5"/>
  <c r="AG413" i="5"/>
  <c r="AG133" i="5"/>
  <c r="AG313" i="5"/>
  <c r="AG174" i="5"/>
  <c r="AG7" i="5"/>
  <c r="AG403" i="5"/>
  <c r="AG443" i="5"/>
  <c r="AG50" i="5"/>
  <c r="AG125" i="5"/>
  <c r="AG302" i="5"/>
  <c r="AG473" i="5"/>
  <c r="AG283" i="5"/>
  <c r="AG161" i="5"/>
  <c r="AG24" i="5"/>
  <c r="AG231" i="5"/>
  <c r="AG69" i="5"/>
  <c r="AG91" i="5"/>
  <c r="AG70" i="5"/>
  <c r="AG156" i="5"/>
  <c r="AG389" i="5"/>
  <c r="AG250" i="5"/>
  <c r="AG168" i="5"/>
  <c r="AG333" i="5"/>
  <c r="AG291" i="5"/>
  <c r="AG77" i="5"/>
  <c r="AG207" i="5"/>
  <c r="AG222" i="5"/>
  <c r="AG78" i="5"/>
  <c r="AG56" i="5"/>
  <c r="AG19" i="5"/>
  <c r="AG167" i="5"/>
  <c r="AG178" i="5"/>
  <c r="AG225" i="5"/>
  <c r="AG472" i="5"/>
  <c r="AG200" i="5"/>
  <c r="AG518" i="5"/>
  <c r="AG342" i="5"/>
  <c r="AG260" i="5"/>
  <c r="AG539" i="5"/>
  <c r="AG152" i="5"/>
  <c r="AG28" i="5"/>
  <c r="AG511" i="5"/>
  <c r="AG153" i="5"/>
  <c r="AG268" i="5"/>
  <c r="AG308" i="5"/>
  <c r="AG509" i="5"/>
  <c r="AG118" i="5"/>
  <c r="AG103" i="5"/>
  <c r="AG558" i="5"/>
  <c r="AG270" i="5"/>
  <c r="AG323" i="5"/>
  <c r="AG212" i="5"/>
  <c r="AG113" i="5"/>
  <c r="AG284" i="5"/>
  <c r="AG488" i="5"/>
  <c r="AG358" i="5"/>
  <c r="AG204" i="5"/>
  <c r="AG538" i="5"/>
  <c r="AG234" i="5"/>
  <c r="AG548" i="5"/>
  <c r="AG409" i="5"/>
  <c r="AG237" i="5"/>
  <c r="AG522" i="5"/>
  <c r="AG296" i="5"/>
  <c r="AG427" i="5"/>
  <c r="AG176" i="5"/>
  <c r="AG127" i="5"/>
  <c r="AG265" i="5"/>
  <c r="AG368" i="5"/>
  <c r="AG281" i="5"/>
  <c r="AG38" i="5"/>
  <c r="AG23" i="5"/>
  <c r="AG248" i="5"/>
  <c r="AG108" i="5"/>
  <c r="AG217" i="5"/>
  <c r="AG385" i="5"/>
  <c r="AG254" i="5"/>
  <c r="AG373" i="5"/>
  <c r="AG297" i="5"/>
  <c r="AG549" i="5"/>
  <c r="AG328" i="5"/>
  <c r="AG32" i="5"/>
  <c r="AG210" i="5"/>
  <c r="AG74" i="5"/>
  <c r="AG384" i="5"/>
  <c r="AG126" i="5"/>
  <c r="AG83" i="5"/>
  <c r="AG31" i="5"/>
  <c r="AG280" i="5"/>
  <c r="AG431" i="5"/>
  <c r="AG479" i="5"/>
  <c r="AG198" i="5"/>
  <c r="AG536" i="5"/>
  <c r="AG90" i="5"/>
  <c r="AG454" i="5"/>
  <c r="AG406" i="5"/>
  <c r="AG229" i="5"/>
  <c r="AG309" i="5"/>
  <c r="AG551" i="5"/>
  <c r="AG464" i="5"/>
  <c r="AG401" i="5"/>
  <c r="AG529" i="5"/>
  <c r="AG376" i="5"/>
  <c r="AG550" i="5"/>
  <c r="AG484" i="5"/>
  <c r="AG455" i="5"/>
  <c r="AG326" i="5"/>
  <c r="AG414" i="5"/>
  <c r="AG375" i="5"/>
  <c r="AG497" i="5"/>
  <c r="AG288" i="5"/>
  <c r="AG421" i="5"/>
  <c r="AG460" i="5"/>
  <c r="AG8" i="5"/>
  <c r="AG480" i="5"/>
  <c r="AG417" i="5"/>
  <c r="AG546" i="5"/>
  <c r="AG162" i="5"/>
  <c r="AG423" i="5"/>
  <c r="AG286" i="5"/>
  <c r="AG194" i="5"/>
  <c r="AG386" i="5"/>
  <c r="AG398" i="5"/>
  <c r="AG51" i="5"/>
  <c r="AG524" i="5"/>
  <c r="AG446" i="5"/>
  <c r="AG299" i="5"/>
  <c r="AG424" i="5"/>
  <c r="AG513" i="5"/>
  <c r="AG482" i="5"/>
  <c r="AG343" i="5"/>
  <c r="AG216" i="5"/>
  <c r="AG264" i="5"/>
  <c r="AG335" i="5"/>
  <c r="AG218" i="5"/>
  <c r="AM430" i="5"/>
  <c r="AM417" i="5"/>
  <c r="AM516" i="5"/>
  <c r="AM232" i="5"/>
  <c r="AM467" i="5"/>
  <c r="AM175" i="5"/>
  <c r="AM245" i="5"/>
  <c r="AM280" i="5"/>
  <c r="AM373" i="5"/>
  <c r="AM257" i="5"/>
  <c r="AM261" i="5"/>
  <c r="AM235" i="5"/>
  <c r="AM139" i="5"/>
  <c r="AM157" i="5"/>
  <c r="AM114" i="5"/>
  <c r="AM40" i="5"/>
  <c r="AM429" i="5"/>
  <c r="AM424" i="5"/>
  <c r="AM80" i="5"/>
  <c r="AM212" i="5"/>
  <c r="AM322" i="5"/>
  <c r="AM489" i="5"/>
  <c r="AM60" i="5"/>
  <c r="AM221" i="5"/>
  <c r="AM546" i="5"/>
  <c r="AM21" i="5"/>
  <c r="AM92" i="5"/>
  <c r="AM298" i="5"/>
  <c r="AM288" i="5"/>
  <c r="AM514" i="5"/>
  <c r="AM486" i="5"/>
  <c r="AM321" i="5"/>
  <c r="AM376" i="5"/>
  <c r="AM525" i="5"/>
  <c r="AM441" i="5"/>
  <c r="AM307" i="5"/>
  <c r="AM226" i="5"/>
  <c r="AM87" i="5"/>
  <c r="AM188" i="5"/>
  <c r="AM364" i="5"/>
  <c r="AM418" i="5"/>
  <c r="AM272" i="5"/>
  <c r="AM330" i="5"/>
  <c r="AM51" i="5"/>
  <c r="AM182" i="5"/>
  <c r="AM345" i="5"/>
  <c r="AM395" i="5"/>
  <c r="AM278" i="5"/>
  <c r="AM380" i="5"/>
  <c r="AM391" i="5"/>
  <c r="AM121" i="5"/>
  <c r="AM405" i="5"/>
  <c r="AM374" i="5"/>
  <c r="AM390" i="5"/>
  <c r="AM89" i="5"/>
  <c r="AM350" i="5"/>
  <c r="AM124" i="5"/>
  <c r="AM409" i="5"/>
  <c r="AM253" i="5"/>
  <c r="AM487" i="5"/>
  <c r="AM224" i="5"/>
  <c r="AM246" i="5"/>
  <c r="AM534" i="5"/>
  <c r="AM269" i="5"/>
  <c r="AM539" i="5"/>
  <c r="AM351" i="5"/>
  <c r="AM289" i="5"/>
  <c r="AM142" i="5"/>
  <c r="AM48" i="5"/>
  <c r="AM63" i="5"/>
  <c r="AM130" i="5"/>
  <c r="AM204" i="5"/>
  <c r="AM171" i="5"/>
  <c r="AM478" i="5"/>
  <c r="AM8" i="5"/>
  <c r="AM147" i="5"/>
  <c r="AM31" i="5"/>
  <c r="AM211" i="5"/>
  <c r="AM484" i="5"/>
  <c r="AM96" i="5"/>
  <c r="AM133" i="5"/>
  <c r="AM132" i="5"/>
  <c r="AM346" i="5"/>
  <c r="AM191" i="5"/>
  <c r="AM277" i="5"/>
  <c r="AM483" i="5"/>
  <c r="AM7" i="5"/>
  <c r="AM315" i="5"/>
  <c r="AM445" i="5"/>
  <c r="AM531" i="5"/>
  <c r="AM493" i="5"/>
  <c r="AM381" i="5"/>
  <c r="AM201" i="5"/>
  <c r="AM521" i="5"/>
  <c r="AM123" i="5"/>
  <c r="AM296" i="5"/>
  <c r="AM282" i="5"/>
  <c r="AM118" i="5"/>
  <c r="AM91" i="5"/>
  <c r="AM126" i="5"/>
  <c r="AM71" i="5"/>
  <c r="AM406" i="5"/>
  <c r="AM75" i="5"/>
  <c r="AM70" i="5"/>
  <c r="AM507" i="5"/>
  <c r="AM385" i="5"/>
  <c r="AM223" i="5"/>
  <c r="AM501" i="5"/>
  <c r="AM242" i="5"/>
  <c r="AM490" i="5"/>
  <c r="AM423" i="5"/>
  <c r="AM205" i="5"/>
  <c r="AM443" i="5"/>
  <c r="AM378" i="5"/>
  <c r="AM522" i="5"/>
  <c r="AM466" i="5"/>
  <c r="AM74" i="5"/>
  <c r="AM79" i="5"/>
  <c r="AM339" i="5"/>
  <c r="AM549" i="5"/>
  <c r="AM518" i="5"/>
  <c r="AM314" i="5"/>
  <c r="AM379" i="5"/>
  <c r="AM168" i="5"/>
  <c r="AM414" i="5"/>
  <c r="AM550" i="5"/>
  <c r="AM58" i="5"/>
  <c r="AM392" i="5"/>
  <c r="AM285" i="5"/>
  <c r="AM141" i="5"/>
  <c r="AM47" i="5"/>
  <c r="AM388" i="5"/>
  <c r="AM156" i="5"/>
  <c r="AM128" i="5"/>
  <c r="AM538" i="5"/>
  <c r="AM323" i="5"/>
  <c r="AM117" i="5"/>
  <c r="AM214" i="5"/>
  <c r="AM449" i="5"/>
  <c r="AM218" i="5"/>
  <c r="AM268" i="5"/>
  <c r="AM172" i="5"/>
  <c r="AM271" i="5"/>
  <c r="AM520" i="5"/>
  <c r="AM83" i="5"/>
  <c r="AM371" i="5"/>
  <c r="AM119" i="5"/>
  <c r="AM24" i="5"/>
  <c r="AM57" i="5"/>
  <c r="AM231" i="5"/>
  <c r="AM35" i="5"/>
  <c r="AM435" i="5"/>
  <c r="AM305" i="5"/>
  <c r="AM25" i="5"/>
  <c r="AM99" i="5"/>
  <c r="AM407" i="5"/>
  <c r="AM210" i="5"/>
  <c r="AM553" i="5"/>
  <c r="AM161" i="5"/>
  <c r="AM199" i="5"/>
  <c r="AM86" i="5"/>
  <c r="AM254" i="5"/>
  <c r="AM111" i="5"/>
  <c r="AM93" i="5"/>
  <c r="AM341" i="5"/>
  <c r="AM207" i="5"/>
  <c r="AM23" i="5"/>
  <c r="B78" i="5"/>
  <c r="AM76" i="5"/>
  <c r="AM250" i="5"/>
  <c r="AM508" i="5"/>
  <c r="AM331" i="5"/>
  <c r="AM167" i="5"/>
  <c r="AM270" i="5"/>
  <c r="AM238" i="5"/>
  <c r="AM103" i="5"/>
  <c r="AM436" i="5"/>
  <c r="AM361" i="5"/>
  <c r="AM20" i="5"/>
  <c r="AM422" i="5"/>
  <c r="AM122" i="5"/>
  <c r="AM476" i="5"/>
  <c r="AM488" i="5"/>
  <c r="AM180" i="5"/>
  <c r="AM197" i="5"/>
  <c r="AM428" i="5"/>
  <c r="AM471" i="5"/>
  <c r="AM185" i="5"/>
  <c r="AM256" i="5"/>
  <c r="AM480" i="5"/>
  <c r="AM29" i="5"/>
  <c r="AM360" i="5"/>
  <c r="AM511" i="5"/>
  <c r="AM458" i="5"/>
  <c r="AM174" i="5"/>
  <c r="AM527" i="5"/>
  <c r="AM465" i="5"/>
  <c r="AM227" i="5"/>
  <c r="AM540" i="5"/>
  <c r="AM498" i="5"/>
  <c r="AM208" i="5"/>
  <c r="AM347" i="5"/>
  <c r="AM349" i="5"/>
  <c r="AM532" i="5"/>
  <c r="AM506" i="5"/>
  <c r="AM59" i="5"/>
  <c r="AM303" i="5"/>
  <c r="AM300" i="5"/>
  <c r="AM367" i="5"/>
  <c r="AM150" i="5"/>
  <c r="AM528" i="5"/>
  <c r="AM470" i="5"/>
  <c r="AM44" i="5"/>
  <c r="AM49" i="5"/>
  <c r="AM100" i="5"/>
  <c r="AM492" i="5"/>
  <c r="AM472" i="5"/>
  <c r="AM401" i="5"/>
  <c r="AM131" i="5"/>
  <c r="AM468" i="5"/>
  <c r="AM234" i="5"/>
  <c r="AM173" i="5"/>
  <c r="AM359" i="5"/>
  <c r="AM384" i="5"/>
  <c r="AM399" i="5"/>
  <c r="AM137" i="5"/>
  <c r="AM523" i="5"/>
  <c r="AM460" i="5"/>
  <c r="AM496" i="5"/>
  <c r="AM477" i="5"/>
  <c r="AM317" i="5"/>
  <c r="AM203" i="5"/>
  <c r="AM403" i="5"/>
  <c r="AM310" i="5"/>
  <c r="AM43" i="5"/>
  <c r="AM505" i="5"/>
  <c r="AM113" i="5"/>
  <c r="AM294" i="5"/>
  <c r="AM52" i="5"/>
  <c r="AM247" i="5"/>
  <c r="AM45" i="5"/>
  <c r="AM495" i="5"/>
  <c r="AM415" i="5"/>
  <c r="AM475" i="5"/>
  <c r="AM461" i="5"/>
  <c r="AM500" i="5"/>
  <c r="AM67" i="5"/>
  <c r="AM338" i="5"/>
  <c r="AM229" i="5"/>
  <c r="AM138" i="5"/>
  <c r="AM165" i="5"/>
  <c r="AM554" i="5"/>
  <c r="AM559" i="5"/>
  <c r="AM442" i="5"/>
  <c r="AM279" i="5"/>
  <c r="AM352" i="5"/>
  <c r="AM115" i="5"/>
  <c r="AM453" i="5"/>
  <c r="AM97" i="5"/>
  <c r="AM158" i="5"/>
  <c r="AM356" i="5"/>
  <c r="AM220" i="5"/>
  <c r="AM19" i="5"/>
  <c r="AM510" i="5"/>
  <c r="AM389" i="5"/>
  <c r="AM293" i="5"/>
  <c r="AM102" i="5"/>
  <c r="AM90" i="5"/>
  <c r="AM163" i="5"/>
  <c r="AM127" i="5"/>
  <c r="AM94" i="5"/>
  <c r="AM335" i="5"/>
  <c r="AM27" i="5"/>
  <c r="AM291" i="5"/>
  <c r="AM357" i="5"/>
  <c r="AM343" i="5"/>
  <c r="AM382" i="5"/>
  <c r="AM526" i="5"/>
  <c r="AM464" i="5"/>
  <c r="AM320" i="5"/>
  <c r="AM292" i="5"/>
  <c r="AM273" i="5"/>
  <c r="AM519" i="5"/>
  <c r="AM283" i="5"/>
  <c r="AM309" i="5"/>
  <c r="AM408" i="5"/>
  <c r="AM217" i="5"/>
  <c r="AM455" i="5"/>
  <c r="AM469" i="5"/>
  <c r="AM463" i="5"/>
  <c r="AM396" i="5"/>
  <c r="AM66" i="5"/>
  <c r="AM230" i="5"/>
  <c r="AM61" i="5"/>
  <c r="AM513" i="5"/>
  <c r="AM340" i="5"/>
  <c r="AM120" i="5"/>
  <c r="AM497" i="5"/>
  <c r="AM88" i="5"/>
  <c r="AM179" i="5"/>
  <c r="AM42" i="5"/>
  <c r="AM365" i="5"/>
  <c r="AM53" i="5"/>
  <c r="AM136" i="5"/>
  <c r="AM82" i="5"/>
  <c r="AM333" i="5"/>
  <c r="AM543" i="5"/>
  <c r="AM146" i="5"/>
  <c r="AM426" i="5"/>
  <c r="AM129" i="5"/>
  <c r="AM332" i="5"/>
  <c r="AM56" i="5"/>
  <c r="AM354" i="5"/>
  <c r="AM149" i="5"/>
  <c r="AM112" i="5"/>
  <c r="AM125" i="5"/>
  <c r="AM366" i="5"/>
  <c r="AM482" i="5"/>
  <c r="AM255" i="5"/>
  <c r="AM116" i="5"/>
  <c r="AM337" i="5"/>
  <c r="AM393" i="5"/>
  <c r="AM55" i="5"/>
  <c r="AM155" i="5"/>
  <c r="AM459" i="5"/>
  <c r="AM135" i="5"/>
  <c r="AM258" i="5"/>
  <c r="AM32" i="5"/>
  <c r="AM194" i="5"/>
  <c r="AM95" i="5"/>
  <c r="AM263" i="5"/>
  <c r="AM324" i="5"/>
  <c r="AM348" i="5"/>
  <c r="AM259" i="5"/>
  <c r="AM239" i="5"/>
  <c r="AM228" i="5"/>
  <c r="AM287" i="5"/>
  <c r="AM213" i="5"/>
  <c r="AM481" i="5"/>
  <c r="AM299" i="5"/>
  <c r="AM243" i="5"/>
  <c r="AM509" i="5"/>
  <c r="AM10" i="5"/>
  <c r="AM369" i="5"/>
  <c r="AM39" i="5"/>
  <c r="AM537" i="5"/>
  <c r="AM499" i="5"/>
  <c r="AM110" i="5"/>
  <c r="AM81" i="5"/>
  <c r="AM248" i="5"/>
  <c r="AM370" i="5"/>
  <c r="AM437" i="5"/>
  <c r="AM548" i="5"/>
  <c r="AM73" i="5"/>
  <c r="AM206" i="5"/>
  <c r="AM342" i="5"/>
  <c r="AM236" i="5"/>
  <c r="AM485" i="5"/>
  <c r="AM542" i="5"/>
  <c r="AM434" i="5"/>
  <c r="AM517" i="5"/>
  <c r="AM184" i="5"/>
  <c r="AM431" i="5"/>
  <c r="AM456" i="5"/>
  <c r="AM26" i="5"/>
  <c r="AM336" i="5"/>
  <c r="AM50" i="5"/>
  <c r="AM85" i="5"/>
  <c r="AM105" i="5"/>
  <c r="AM302" i="5"/>
  <c r="AM64" i="5"/>
  <c r="AM297" i="5"/>
  <c r="AM327" i="5"/>
  <c r="AM316" i="5"/>
  <c r="AM34" i="5"/>
  <c r="AM264" i="5"/>
  <c r="AM387" i="5"/>
  <c r="AM65" i="5"/>
  <c r="AM198" i="5"/>
  <c r="AM556" i="5"/>
  <c r="AM383" i="5"/>
  <c r="AM363" i="5"/>
  <c r="AM440" i="5"/>
  <c r="AM145" i="5"/>
  <c r="AM107" i="5"/>
  <c r="AM186" i="5"/>
  <c r="AM398" i="5"/>
  <c r="AM169" i="5"/>
  <c r="AM536" i="5"/>
  <c r="AM368" i="5"/>
  <c r="AM400" i="5"/>
  <c r="AM36" i="5"/>
  <c r="AM325" i="5"/>
  <c r="AM386" i="5"/>
  <c r="AM46" i="5"/>
  <c r="AM439" i="5"/>
  <c r="AM144" i="5"/>
  <c r="AM101" i="5"/>
  <c r="AM304" i="5"/>
  <c r="AM362" i="5"/>
  <c r="AM108" i="5"/>
  <c r="AM12" i="5"/>
  <c r="AM457" i="5"/>
  <c r="AM530" i="5"/>
  <c r="AM170" i="5"/>
  <c r="AM419" i="5"/>
  <c r="AM319" i="5"/>
  <c r="AM249" i="5"/>
  <c r="AM196" i="5"/>
  <c r="AM267" i="5"/>
  <c r="AM233" i="5"/>
  <c r="AM552" i="5"/>
  <c r="AM244" i="5"/>
  <c r="AM176" i="5"/>
  <c r="AM502" i="5"/>
  <c r="AM290" i="5"/>
  <c r="AM413" i="5"/>
  <c r="AM462" i="5"/>
  <c r="AM410" i="5"/>
  <c r="AM318" i="5"/>
  <c r="AM515" i="5"/>
  <c r="AM219" i="5"/>
  <c r="AM262" i="5"/>
  <c r="AM334" i="5"/>
  <c r="AM358" i="5"/>
  <c r="AM533" i="5"/>
  <c r="AM555" i="5"/>
  <c r="AM402" i="5"/>
  <c r="AM438" i="5"/>
  <c r="AM284" i="5"/>
  <c r="AM181" i="5"/>
  <c r="AM547" i="5"/>
  <c r="AM535" i="5"/>
  <c r="AM529" i="5"/>
  <c r="AM22" i="5"/>
  <c r="AM311" i="5"/>
  <c r="AM189" i="5"/>
  <c r="AM372" i="5"/>
  <c r="AM433" i="5"/>
  <c r="AM98" i="5"/>
  <c r="AM225" i="5"/>
  <c r="AM444" i="5"/>
  <c r="AM134" i="5"/>
  <c r="AM301" i="5"/>
  <c r="AM153" i="5"/>
  <c r="AM260" i="5"/>
  <c r="AM544" i="5"/>
  <c r="AM326" i="5"/>
  <c r="AM432" i="5"/>
  <c r="AM524" i="5"/>
  <c r="AM512" i="5"/>
  <c r="AM281" i="5"/>
  <c r="AM454" i="5"/>
  <c r="AM154" i="5"/>
  <c r="AM491" i="5"/>
  <c r="AM69" i="5"/>
  <c r="AM178" i="5"/>
  <c r="AM159" i="5"/>
  <c r="AM344" i="5"/>
  <c r="AM195" i="5"/>
  <c r="AM353" i="5"/>
  <c r="AM54" i="5"/>
  <c r="AM545" i="5"/>
  <c r="AM313" i="5"/>
  <c r="AM160" i="5"/>
  <c r="AM416" i="5"/>
  <c r="AM109" i="5"/>
  <c r="AM425" i="5"/>
  <c r="AM275" i="5"/>
  <c r="AM13" i="5"/>
  <c r="AM421" i="5"/>
  <c r="AM276" i="5"/>
  <c r="AM193" i="5"/>
  <c r="AM504" i="5"/>
  <c r="AM306" i="5"/>
  <c r="AM479" i="5"/>
  <c r="AM450" i="5"/>
  <c r="AM541" i="5"/>
  <c r="AM328" i="5"/>
  <c r="AM448" i="5"/>
  <c r="AM295" i="5"/>
  <c r="AM394" i="5"/>
  <c r="AM177" i="5"/>
  <c r="AM312" i="5"/>
  <c r="AM28" i="5"/>
  <c r="AM209" i="5"/>
  <c r="AM215" i="5"/>
  <c r="AM152" i="5"/>
  <c r="AM38" i="5"/>
  <c r="AM192" i="5"/>
  <c r="AM202" i="5"/>
  <c r="AM164" i="5"/>
  <c r="AM474" i="5"/>
  <c r="AM183" i="5"/>
  <c r="AM503" i="5"/>
  <c r="AM72" i="5"/>
  <c r="AM241" i="5"/>
  <c r="AM446" i="5"/>
  <c r="AM473" i="5"/>
  <c r="AM143" i="5"/>
  <c r="AM329" i="5"/>
  <c r="AM240" i="5"/>
  <c r="AM286" i="5"/>
  <c r="AM265" i="5"/>
  <c r="AM140" i="5"/>
  <c r="AM557" i="5"/>
  <c r="AM447" i="5"/>
  <c r="AM452" i="5"/>
  <c r="AM494" i="5"/>
  <c r="AM106" i="5"/>
  <c r="AM427" i="5"/>
  <c r="AM41" i="5"/>
  <c r="AM375" i="5"/>
  <c r="AM84" i="5"/>
  <c r="AM420" i="5"/>
  <c r="AM62" i="5"/>
  <c r="AM412" i="5"/>
  <c r="AM148" i="5"/>
  <c r="AM216" i="5"/>
  <c r="AM30" i="5"/>
  <c r="AM222" i="5"/>
  <c r="AM33" i="5"/>
  <c r="AM187" i="5"/>
  <c r="AM200" i="5"/>
  <c r="AM308" i="5"/>
  <c r="AM266" i="5"/>
  <c r="AM404" i="5"/>
  <c r="AM162" i="5"/>
  <c r="AM377" i="5"/>
  <c r="AM77" i="5"/>
  <c r="AM166" i="5"/>
  <c r="AM355" i="5"/>
  <c r="AM190" i="5"/>
  <c r="AM252" i="5"/>
  <c r="AM558" i="5"/>
  <c r="AM104" i="5"/>
  <c r="AM274" i="5"/>
  <c r="AM68" i="5"/>
  <c r="AM37" i="5"/>
  <c r="AM251" i="5"/>
  <c r="AM451" i="5"/>
  <c r="AM151" i="5"/>
  <c r="AM237" i="5"/>
  <c r="AM551" i="5"/>
  <c r="AM560" i="5"/>
  <c r="AM411" i="5"/>
  <c r="AM397" i="5"/>
  <c r="AM78" i="5"/>
  <c r="Y344" i="5"/>
  <c r="X344" i="5"/>
  <c r="Y494" i="5"/>
  <c r="X494" i="5"/>
  <c r="Y463" i="5"/>
  <c r="X463" i="5"/>
  <c r="Y370" i="5"/>
  <c r="X370" i="5"/>
  <c r="Y13" i="5"/>
  <c r="X13" i="5"/>
  <c r="Y152" i="5"/>
  <c r="X152" i="5"/>
  <c r="X206" i="5"/>
  <c r="Y206" i="5"/>
  <c r="X137" i="5"/>
  <c r="Y137" i="5"/>
  <c r="Y218" i="5"/>
  <c r="X218" i="5"/>
  <c r="Y104" i="5"/>
  <c r="X104" i="5"/>
  <c r="X535" i="5"/>
  <c r="Y535" i="5"/>
  <c r="X230" i="5"/>
  <c r="Y230" i="5"/>
  <c r="Y292" i="5"/>
  <c r="X292" i="5"/>
  <c r="W9" i="5"/>
  <c r="T9" i="5"/>
  <c r="AG9" i="5"/>
  <c r="AZ9" i="5"/>
  <c r="Z9" i="5"/>
  <c r="AW9" i="5"/>
  <c r="AJ9" i="5"/>
  <c r="AT9" i="5"/>
  <c r="AM9" i="5"/>
  <c r="X43" i="5"/>
  <c r="Y43" i="5"/>
  <c r="X174" i="5"/>
  <c r="Y174" i="5"/>
  <c r="X430" i="5"/>
  <c r="Y430" i="5"/>
  <c r="X291" i="5"/>
  <c r="Y291" i="5"/>
  <c r="X260" i="5"/>
  <c r="Y260" i="5"/>
  <c r="Y529" i="5"/>
  <c r="X529" i="5"/>
  <c r="X163" i="5"/>
  <c r="Y163" i="5"/>
  <c r="Y57" i="5"/>
  <c r="X57" i="5"/>
  <c r="X113" i="5"/>
  <c r="Y113" i="5"/>
  <c r="X324" i="5"/>
  <c r="Y324" i="5"/>
  <c r="Y99" i="5"/>
  <c r="X99" i="5"/>
  <c r="Y277" i="5"/>
  <c r="X277" i="5"/>
  <c r="X201" i="5"/>
  <c r="Y201" i="5"/>
  <c r="X128" i="5"/>
  <c r="Y128" i="5"/>
  <c r="X41" i="5"/>
  <c r="Y41" i="5"/>
  <c r="Y479" i="5"/>
  <c r="X479" i="5"/>
  <c r="Y227" i="5"/>
  <c r="X227" i="5"/>
  <c r="X147" i="5"/>
  <c r="Y147" i="5"/>
  <c r="Y234" i="5"/>
  <c r="X234" i="5"/>
  <c r="Y560" i="5"/>
  <c r="X560" i="5"/>
  <c r="X54" i="5"/>
  <c r="Y54" i="5"/>
  <c r="Y559" i="5"/>
  <c r="X559" i="5"/>
  <c r="X285" i="5"/>
  <c r="Y285" i="5"/>
  <c r="X357" i="5"/>
  <c r="Y357" i="5"/>
  <c r="Y396" i="5"/>
  <c r="X396" i="5"/>
  <c r="X126" i="5"/>
  <c r="Y126" i="5"/>
  <c r="Y524" i="5"/>
  <c r="X524" i="5"/>
  <c r="X192" i="5"/>
  <c r="Y192" i="5"/>
  <c r="X8" i="5"/>
  <c r="Y8" i="5"/>
  <c r="Y254" i="5"/>
  <c r="X254" i="5"/>
  <c r="X373" i="5"/>
  <c r="Y373" i="5"/>
  <c r="Y276" i="5"/>
  <c r="X276" i="5"/>
  <c r="Y521" i="5"/>
  <c r="X521" i="5"/>
  <c r="X538" i="5"/>
  <c r="Y538" i="5"/>
  <c r="X484" i="5"/>
  <c r="Y484" i="5"/>
  <c r="Y290" i="5"/>
  <c r="X290" i="5"/>
  <c r="X550" i="5"/>
  <c r="Y550" i="5"/>
  <c r="Y547" i="5"/>
  <c r="X547" i="5"/>
  <c r="X241" i="5"/>
  <c r="Y241" i="5"/>
  <c r="X330" i="5"/>
  <c r="Y330" i="5"/>
  <c r="Y518" i="5"/>
  <c r="X518" i="5"/>
  <c r="X149" i="5"/>
  <c r="Y149" i="5"/>
  <c r="X554" i="5"/>
  <c r="Y554" i="5"/>
  <c r="Y361" i="5"/>
  <c r="X361" i="5"/>
  <c r="Y318" i="5"/>
  <c r="X318" i="5"/>
  <c r="Y455" i="5"/>
  <c r="X455" i="5"/>
  <c r="Y223" i="5"/>
  <c r="X223" i="5"/>
  <c r="X545" i="5"/>
  <c r="Y545" i="5"/>
  <c r="X338" i="5"/>
  <c r="Y338" i="5"/>
  <c r="X157" i="5"/>
  <c r="Y157" i="5"/>
  <c r="X503" i="5"/>
  <c r="Y503" i="5"/>
  <c r="Y558" i="5"/>
  <c r="X558" i="5"/>
  <c r="X119" i="5"/>
  <c r="Y119" i="5"/>
  <c r="Y481" i="5"/>
  <c r="X481" i="5"/>
  <c r="X332" i="5"/>
  <c r="Y332" i="5"/>
  <c r="Y191" i="5"/>
  <c r="X191" i="5"/>
  <c r="X76" i="5"/>
  <c r="Y76" i="5"/>
  <c r="Y281" i="5"/>
  <c r="X281" i="5"/>
  <c r="Y196" i="5"/>
  <c r="X196" i="5"/>
  <c r="Y452" i="5"/>
  <c r="X452" i="5"/>
  <c r="Y298" i="5"/>
  <c r="X298" i="5"/>
  <c r="Y461" i="5"/>
  <c r="X461" i="5"/>
  <c r="Y504" i="5"/>
  <c r="X504" i="5"/>
  <c r="X349" i="5"/>
  <c r="Y349" i="5"/>
  <c r="Y114" i="5"/>
  <c r="X114" i="5"/>
  <c r="Y394" i="5"/>
  <c r="X394" i="5"/>
  <c r="Y220" i="5"/>
  <c r="X220" i="5"/>
  <c r="X224" i="5"/>
  <c r="Y224" i="5"/>
  <c r="Y505" i="5"/>
  <c r="X505" i="5"/>
  <c r="X106" i="5"/>
  <c r="Y106" i="5"/>
  <c r="X302" i="5"/>
  <c r="Y302" i="5"/>
  <c r="X243" i="5"/>
  <c r="Y243" i="5"/>
  <c r="Y492" i="5"/>
  <c r="X492" i="5"/>
  <c r="X214" i="5"/>
  <c r="Y214" i="5"/>
  <c r="X549" i="5"/>
  <c r="Y549" i="5"/>
  <c r="X300" i="5"/>
  <c r="Y300" i="5"/>
  <c r="X37" i="5"/>
  <c r="Y37" i="5"/>
  <c r="Y553" i="5"/>
  <c r="X553" i="5"/>
  <c r="X426" i="5"/>
  <c r="Y426" i="5"/>
  <c r="Y60" i="5"/>
  <c r="X60" i="5"/>
  <c r="X476" i="5"/>
  <c r="Y476" i="5"/>
  <c r="Y70" i="5"/>
  <c r="X70" i="5"/>
  <c r="X69" i="5"/>
  <c r="Y69" i="5"/>
  <c r="X315" i="5"/>
  <c r="Y315" i="5"/>
  <c r="X271" i="5"/>
  <c r="Y271" i="5"/>
  <c r="X242" i="5"/>
  <c r="Y242" i="5"/>
  <c r="X433" i="5"/>
  <c r="Y433" i="5"/>
  <c r="X65" i="5"/>
  <c r="Y65" i="5"/>
  <c r="Y496" i="5"/>
  <c r="X496" i="5"/>
  <c r="Y80" i="5"/>
  <c r="X80" i="5"/>
  <c r="X556" i="5"/>
  <c r="Y556" i="5"/>
  <c r="X331" i="5"/>
  <c r="Y331" i="5"/>
  <c r="X238" i="5"/>
  <c r="Y238" i="5"/>
  <c r="X335" i="5"/>
  <c r="Y335" i="5"/>
  <c r="Y555" i="5"/>
  <c r="X555" i="5"/>
  <c r="X248" i="5"/>
  <c r="Y248" i="5"/>
  <c r="X352" i="5"/>
  <c r="Y352" i="5"/>
  <c r="Y440" i="5"/>
  <c r="X440" i="5"/>
  <c r="Y209" i="5"/>
  <c r="X209" i="5"/>
  <c r="X395" i="5"/>
  <c r="Y395" i="5"/>
  <c r="X507" i="5"/>
  <c r="Y507" i="5"/>
  <c r="X482" i="5"/>
  <c r="Y482" i="5"/>
  <c r="Y295" i="5"/>
  <c r="X295" i="5"/>
  <c r="X25" i="5"/>
  <c r="Y25" i="5"/>
  <c r="X296" i="5"/>
  <c r="Y296" i="5"/>
  <c r="X393" i="5"/>
  <c r="Y393" i="5"/>
  <c r="X121" i="5"/>
  <c r="Y121" i="5"/>
  <c r="Y166" i="5"/>
  <c r="X166" i="5"/>
  <c r="X30" i="5"/>
  <c r="Y30" i="5"/>
  <c r="Y198" i="5"/>
  <c r="X198" i="5"/>
  <c r="X36" i="5"/>
  <c r="Y36" i="5"/>
  <c r="Y110" i="5"/>
  <c r="X110" i="5"/>
  <c r="X415" i="5"/>
  <c r="Y415" i="5"/>
  <c r="Y217" i="5"/>
  <c r="X217" i="5"/>
  <c r="X253" i="5"/>
  <c r="Y253" i="5"/>
  <c r="Y115" i="5"/>
  <c r="X115" i="5"/>
  <c r="X381" i="5"/>
  <c r="Y381" i="5"/>
  <c r="X541" i="5"/>
  <c r="Y541" i="5"/>
  <c r="Y317" i="5"/>
  <c r="X317" i="5"/>
  <c r="X83" i="5"/>
  <c r="Y83" i="5"/>
  <c r="Y109" i="5"/>
  <c r="X109" i="5"/>
  <c r="X20" i="5"/>
  <c r="Y20" i="5"/>
  <c r="X249" i="5"/>
  <c r="Y249" i="5"/>
  <c r="AV81" i="4"/>
  <c r="U81" i="4"/>
  <c r="AV120" i="4"/>
  <c r="U120" i="4"/>
  <c r="AV117" i="4"/>
  <c r="U117" i="4"/>
  <c r="H29" i="1"/>
  <c r="K94" i="2"/>
  <c r="B84" i="2"/>
  <c r="B86" i="2" s="1"/>
  <c r="B87" i="2" s="1"/>
  <c r="H30" i="1" s="1"/>
  <c r="Y448" i="5"/>
  <c r="X448" i="5"/>
  <c r="X525" i="5"/>
  <c r="Y525" i="5"/>
  <c r="X22" i="5"/>
  <c r="Y22" i="5"/>
  <c r="Y333" i="5"/>
  <c r="X333" i="5"/>
  <c r="X500" i="5"/>
  <c r="Y500" i="5"/>
  <c r="Y103" i="5"/>
  <c r="X103" i="5"/>
  <c r="Y289" i="5"/>
  <c r="X289" i="5"/>
  <c r="Y404" i="5"/>
  <c r="X404" i="5"/>
  <c r="Y170" i="5"/>
  <c r="X170" i="5"/>
  <c r="Y287" i="5"/>
  <c r="X287" i="5"/>
  <c r="X389" i="5"/>
  <c r="Y389" i="5"/>
  <c r="X46" i="5"/>
  <c r="Y46" i="5"/>
  <c r="Y356" i="5"/>
  <c r="X356" i="5"/>
  <c r="X77" i="5"/>
  <c r="Y77" i="5"/>
  <c r="X58" i="5"/>
  <c r="Y58" i="5"/>
  <c r="X534" i="5"/>
  <c r="Y534" i="5"/>
  <c r="X50" i="5"/>
  <c r="Y50" i="5"/>
  <c r="X272" i="5"/>
  <c r="Y272" i="5"/>
  <c r="X355" i="5"/>
  <c r="Y355" i="5"/>
  <c r="X257" i="5"/>
  <c r="Y257" i="5"/>
  <c r="X364" i="5"/>
  <c r="Y364" i="5"/>
  <c r="X251" i="5"/>
  <c r="Y251" i="5"/>
  <c r="Y399" i="5"/>
  <c r="X399" i="5"/>
  <c r="Y464" i="5"/>
  <c r="X464" i="5"/>
  <c r="Y425" i="5"/>
  <c r="X425" i="5"/>
  <c r="Y40" i="5"/>
  <c r="X40" i="5"/>
  <c r="Y226" i="5"/>
  <c r="X226" i="5"/>
  <c r="Y150" i="5"/>
  <c r="X150" i="5"/>
  <c r="Y548" i="5"/>
  <c r="X548" i="5"/>
  <c r="Y105" i="5"/>
  <c r="X105" i="5"/>
  <c r="AV79" i="4"/>
  <c r="U79" i="4"/>
  <c r="AV151" i="4"/>
  <c r="U151" i="4"/>
  <c r="AV83" i="4"/>
  <c r="U83" i="4"/>
  <c r="AV28" i="4"/>
  <c r="U28" i="4"/>
  <c r="Y79" i="5"/>
  <c r="X79" i="5"/>
  <c r="X284" i="5"/>
  <c r="Y284" i="5"/>
  <c r="X96" i="5"/>
  <c r="Y96" i="5"/>
  <c r="X391" i="5"/>
  <c r="Y391" i="5"/>
  <c r="X129" i="5"/>
  <c r="Y129" i="5"/>
  <c r="Y387" i="5"/>
  <c r="X387" i="5"/>
  <c r="X530" i="5"/>
  <c r="Y530" i="5"/>
  <c r="X342" i="5"/>
  <c r="Y342" i="5"/>
  <c r="X528" i="5"/>
  <c r="Y528" i="5"/>
  <c r="X432" i="5"/>
  <c r="Y432" i="5"/>
  <c r="X134" i="5"/>
  <c r="Y134" i="5"/>
  <c r="X162" i="5"/>
  <c r="Y162" i="5"/>
  <c r="Y441" i="5"/>
  <c r="X441" i="5"/>
  <c r="Y194" i="5"/>
  <c r="X194" i="5"/>
  <c r="X252" i="5"/>
  <c r="Y252" i="5"/>
  <c r="X236" i="5"/>
  <c r="Y236" i="5"/>
  <c r="X222" i="5"/>
  <c r="Y222" i="5"/>
  <c r="X48" i="5"/>
  <c r="Y48" i="5"/>
  <c r="X63" i="5"/>
  <c r="Y63" i="5"/>
  <c r="X61" i="5"/>
  <c r="Y61" i="5"/>
  <c r="Y308" i="5"/>
  <c r="X308" i="5"/>
  <c r="X445" i="5"/>
  <c r="Y445" i="5"/>
  <c r="X457" i="5"/>
  <c r="Y457" i="5"/>
  <c r="Y120" i="5"/>
  <c r="X120" i="5"/>
  <c r="Y551" i="5"/>
  <c r="X551" i="5"/>
  <c r="Y509" i="5"/>
  <c r="X509" i="5"/>
  <c r="Y193" i="5"/>
  <c r="X193" i="5"/>
  <c r="X127" i="5"/>
  <c r="Y127" i="5"/>
  <c r="X188" i="5"/>
  <c r="Y188" i="5"/>
  <c r="Y510" i="5"/>
  <c r="X510" i="5"/>
  <c r="Y24" i="5"/>
  <c r="X24" i="5"/>
  <c r="Y539" i="5"/>
  <c r="X539" i="5"/>
  <c r="X161" i="5"/>
  <c r="Y161" i="5"/>
  <c r="Y270" i="5"/>
  <c r="X270" i="5"/>
  <c r="X72" i="5"/>
  <c r="Y72" i="5"/>
  <c r="X490" i="5"/>
  <c r="Y490" i="5"/>
  <c r="X108" i="5"/>
  <c r="Y108" i="5"/>
  <c r="X462" i="5"/>
  <c r="Y462" i="5"/>
  <c r="Y451" i="5"/>
  <c r="X451" i="5"/>
  <c r="Y97" i="5"/>
  <c r="X97" i="5"/>
  <c r="X405" i="5"/>
  <c r="Y405" i="5"/>
  <c r="Y495" i="5"/>
  <c r="X495" i="5"/>
  <c r="X183" i="5"/>
  <c r="Y183" i="5"/>
  <c r="Y82" i="5"/>
  <c r="X82" i="5"/>
  <c r="X33" i="5"/>
  <c r="Y33" i="5"/>
  <c r="X354" i="5"/>
  <c r="Y354" i="5"/>
  <c r="X56" i="5"/>
  <c r="Y56" i="5"/>
  <c r="X475" i="5"/>
  <c r="Y475" i="5"/>
  <c r="X523" i="5"/>
  <c r="Y523" i="5"/>
  <c r="Y299" i="5"/>
  <c r="X299" i="5"/>
  <c r="Y189" i="5"/>
  <c r="X189" i="5"/>
  <c r="Y67" i="5"/>
  <c r="X67" i="5"/>
  <c r="X374" i="5"/>
  <c r="Y374" i="5"/>
  <c r="Y468" i="5"/>
  <c r="X468" i="5"/>
  <c r="Y139" i="5"/>
  <c r="X139" i="5"/>
  <c r="Y421" i="5"/>
  <c r="X421" i="5"/>
  <c r="X469" i="5"/>
  <c r="Y469" i="5"/>
  <c r="X325" i="5"/>
  <c r="Y325" i="5"/>
  <c r="X123" i="5"/>
  <c r="Y123" i="5"/>
  <c r="Y517" i="5"/>
  <c r="X517" i="5"/>
  <c r="X138" i="5"/>
  <c r="Y138" i="5"/>
  <c r="Y59" i="5"/>
  <c r="X59" i="5"/>
  <c r="Y164" i="5"/>
  <c r="X164" i="5"/>
  <c r="X266" i="5"/>
  <c r="Y266" i="5"/>
  <c r="Y382" i="5"/>
  <c r="X382" i="5"/>
  <c r="Y62" i="5"/>
  <c r="X62" i="5"/>
  <c r="X506" i="5"/>
  <c r="Y506" i="5"/>
  <c r="X543" i="5"/>
  <c r="Y543" i="5"/>
  <c r="X282" i="5"/>
  <c r="Y282" i="5"/>
  <c r="X136" i="5"/>
  <c r="Y136" i="5"/>
  <c r="X273" i="5"/>
  <c r="Y273" i="5"/>
  <c r="X390" i="5"/>
  <c r="Y390" i="5"/>
  <c r="X350" i="5"/>
  <c r="Y350" i="5"/>
  <c r="Y228" i="5"/>
  <c r="X228" i="5"/>
  <c r="X467" i="5"/>
  <c r="Y467" i="5"/>
  <c r="X326" i="5"/>
  <c r="Y326" i="5"/>
  <c r="Y75" i="5"/>
  <c r="X75" i="5"/>
  <c r="Y294" i="5"/>
  <c r="X294" i="5"/>
  <c r="X178" i="5"/>
  <c r="Y178" i="5"/>
  <c r="Y491" i="5"/>
  <c r="X491" i="5"/>
  <c r="Y359" i="5"/>
  <c r="X359" i="5"/>
  <c r="Y385" i="5"/>
  <c r="X385" i="5"/>
  <c r="Y68" i="5"/>
  <c r="X68" i="5"/>
  <c r="X38" i="5"/>
  <c r="Y38" i="5"/>
  <c r="X542" i="5"/>
  <c r="Y542" i="5"/>
  <c r="X408" i="5"/>
  <c r="Y408" i="5"/>
  <c r="Y472" i="5"/>
  <c r="X472" i="5"/>
  <c r="X471" i="5"/>
  <c r="Y471" i="5"/>
  <c r="X29" i="5"/>
  <c r="Y29" i="5"/>
  <c r="X322" i="5"/>
  <c r="Y322" i="5"/>
  <c r="Y312" i="5"/>
  <c r="X312" i="5"/>
  <c r="X199" i="5"/>
  <c r="Y199" i="5"/>
  <c r="X34" i="5"/>
  <c r="Y34" i="5"/>
  <c r="X177" i="5"/>
  <c r="Y177" i="5"/>
  <c r="Y301" i="5"/>
  <c r="X301" i="5"/>
  <c r="X145" i="5"/>
  <c r="Y145" i="5"/>
  <c r="X269" i="5"/>
  <c r="Y269" i="5"/>
  <c r="X221" i="5"/>
  <c r="Y221" i="5"/>
  <c r="Y208" i="5"/>
  <c r="X208" i="5"/>
  <c r="X92" i="5"/>
  <c r="Y92" i="5"/>
  <c r="Y437" i="5"/>
  <c r="X437" i="5"/>
  <c r="X334" i="5"/>
  <c r="Y334" i="5"/>
  <c r="X74" i="5"/>
  <c r="Y74" i="5"/>
  <c r="X200" i="5"/>
  <c r="Y200" i="5"/>
  <c r="X246" i="5"/>
  <c r="Y246" i="5"/>
  <c r="Y348" i="5"/>
  <c r="X348" i="5"/>
  <c r="Y485" i="5"/>
  <c r="X485" i="5"/>
  <c r="X311" i="5"/>
  <c r="Y311" i="5"/>
  <c r="Y339" i="5"/>
  <c r="X339" i="5"/>
  <c r="Y160" i="5"/>
  <c r="X160" i="5"/>
  <c r="Y413" i="5"/>
  <c r="X413" i="5"/>
  <c r="Y379" i="5"/>
  <c r="X379" i="5"/>
  <c r="Y140" i="5"/>
  <c r="X140" i="5"/>
  <c r="X89" i="5"/>
  <c r="Y89" i="5"/>
  <c r="X466" i="5"/>
  <c r="Y466" i="5"/>
  <c r="Y229" i="5"/>
  <c r="X229" i="5"/>
  <c r="X168" i="5"/>
  <c r="Y168" i="5"/>
  <c r="Y416" i="5"/>
  <c r="X416" i="5"/>
  <c r="X499" i="5"/>
  <c r="Y499" i="5"/>
  <c r="X148" i="5"/>
  <c r="Y148" i="5"/>
  <c r="Y231" i="5"/>
  <c r="X231" i="5"/>
  <c r="R7" i="5"/>
  <c r="S7" i="5"/>
  <c r="AV74" i="4"/>
  <c r="U74" i="4"/>
  <c r="AV137" i="4"/>
  <c r="U137" i="4"/>
  <c r="AV126" i="4"/>
  <c r="U126" i="4"/>
  <c r="AV147" i="4"/>
  <c r="U147" i="4"/>
  <c r="AV121" i="4"/>
  <c r="U121" i="4"/>
  <c r="AV8" i="4"/>
  <c r="U8" i="4"/>
  <c r="AV94" i="4"/>
  <c r="U94" i="4"/>
  <c r="AV15" i="4"/>
  <c r="U15" i="4"/>
  <c r="AV59" i="4"/>
  <c r="U59" i="4"/>
  <c r="AV30" i="4"/>
  <c r="U30" i="4"/>
  <c r="AV93" i="4"/>
  <c r="U93" i="4"/>
  <c r="AV44" i="4"/>
  <c r="U44" i="4"/>
  <c r="AV145" i="4"/>
  <c r="U145" i="4"/>
  <c r="AV33" i="4"/>
  <c r="U33" i="4"/>
  <c r="AV31" i="4"/>
  <c r="U31" i="4"/>
  <c r="AV141" i="4"/>
  <c r="U141" i="4"/>
  <c r="AV67" i="4"/>
  <c r="U67" i="4"/>
  <c r="AV61" i="4"/>
  <c r="U61" i="4"/>
  <c r="AF11" i="5"/>
  <c r="AF9" i="5"/>
  <c r="AF94" i="5"/>
  <c r="AF395" i="5"/>
  <c r="AF391" i="5"/>
  <c r="AF497" i="5"/>
  <c r="AF523" i="5"/>
  <c r="AF342" i="5"/>
  <c r="AF499" i="5"/>
  <c r="AF56" i="5"/>
  <c r="AF258" i="5"/>
  <c r="AF524" i="5"/>
  <c r="AF414" i="5"/>
  <c r="AF33" i="5"/>
  <c r="AF245" i="5"/>
  <c r="AF277" i="5"/>
  <c r="AF517" i="5"/>
  <c r="AF452" i="5"/>
  <c r="AF496" i="5"/>
  <c r="AF136" i="5"/>
  <c r="AF513" i="5"/>
  <c r="AF461" i="5"/>
  <c r="AF232" i="5"/>
  <c r="AF250" i="5"/>
  <c r="AF511" i="5"/>
  <c r="AF321" i="5"/>
  <c r="AF167" i="5"/>
  <c r="AF29" i="5"/>
  <c r="AF77" i="5"/>
  <c r="AF440" i="5"/>
  <c r="AF164" i="5"/>
  <c r="AF371" i="5"/>
  <c r="AF281" i="5"/>
  <c r="AF292" i="5"/>
  <c r="AF330" i="5"/>
  <c r="AF43" i="5"/>
  <c r="AF364" i="5"/>
  <c r="AF148" i="5"/>
  <c r="AF454" i="5"/>
  <c r="AF460" i="5"/>
  <c r="AF495" i="5"/>
  <c r="AF98" i="5"/>
  <c r="AF539" i="5"/>
  <c r="AF445" i="5"/>
  <c r="AF55" i="5"/>
  <c r="AF360" i="5"/>
  <c r="AF412" i="5"/>
  <c r="AF427" i="5"/>
  <c r="AF305" i="5"/>
  <c r="AF146" i="5"/>
  <c r="AF288" i="5"/>
  <c r="AF131" i="5"/>
  <c r="AF112" i="5"/>
  <c r="AF189" i="5"/>
  <c r="AF551" i="5"/>
  <c r="AF139" i="5"/>
  <c r="AF104" i="5"/>
  <c r="AF177" i="5"/>
  <c r="AF210" i="5"/>
  <c r="AF500" i="5"/>
  <c r="AF243" i="5"/>
  <c r="AF205" i="5"/>
  <c r="AF278" i="5"/>
  <c r="AF172" i="5"/>
  <c r="AF393" i="5"/>
  <c r="AF366" i="5"/>
  <c r="AF347" i="5"/>
  <c r="AF127" i="5"/>
  <c r="AF89" i="5"/>
  <c r="AF153" i="5"/>
  <c r="AF208" i="5"/>
  <c r="AF256" i="5"/>
  <c r="AF255" i="5"/>
  <c r="AF234" i="5"/>
  <c r="AF116" i="5"/>
  <c r="AF532" i="5"/>
  <c r="AF415" i="5"/>
  <c r="AP415" i="5" s="1"/>
  <c r="AF100" i="5"/>
  <c r="AF537" i="5"/>
  <c r="AF544" i="5"/>
  <c r="AF310" i="5"/>
  <c r="AF430" i="5"/>
  <c r="AF142" i="5"/>
  <c r="AF357" i="5"/>
  <c r="AF138" i="5"/>
  <c r="AF548" i="5"/>
  <c r="AF318" i="5"/>
  <c r="AF85" i="5"/>
  <c r="AF542" i="5"/>
  <c r="AF370" i="5"/>
  <c r="AF308" i="5"/>
  <c r="AF465" i="5"/>
  <c r="AF467" i="5"/>
  <c r="AF451" i="5"/>
  <c r="AF408" i="5"/>
  <c r="AF163" i="5"/>
  <c r="AF122" i="5"/>
  <c r="AF203" i="5"/>
  <c r="AF76" i="5"/>
  <c r="AF118" i="5"/>
  <c r="AF443" i="5"/>
  <c r="AF257" i="5"/>
  <c r="AF268" i="5"/>
  <c r="AF30" i="5"/>
  <c r="AF401" i="5"/>
  <c r="AF295" i="5"/>
  <c r="AF252" i="5"/>
  <c r="AF550" i="5"/>
  <c r="AF506" i="5"/>
  <c r="AF486" i="5"/>
  <c r="AF394" i="5"/>
  <c r="AF425" i="5"/>
  <c r="AF19" i="5"/>
  <c r="AF212" i="5"/>
  <c r="AF135" i="5"/>
  <c r="AF488" i="5"/>
  <c r="AF510" i="5"/>
  <c r="AF231" i="5"/>
  <c r="AF490" i="5"/>
  <c r="AF93" i="5"/>
  <c r="AF435" i="5"/>
  <c r="AF267" i="5"/>
  <c r="AF346" i="5"/>
  <c r="AF265" i="5"/>
  <c r="AF241" i="5"/>
  <c r="AF140" i="5"/>
  <c r="AF507" i="5"/>
  <c r="AF62" i="5"/>
  <c r="AF319" i="5"/>
  <c r="AF128" i="5"/>
  <c r="AF291" i="5"/>
  <c r="AF32" i="5"/>
  <c r="AF555" i="5"/>
  <c r="AF389" i="5"/>
  <c r="AF156" i="5"/>
  <c r="AF133" i="5"/>
  <c r="AF424" i="5"/>
  <c r="AF477" i="5"/>
  <c r="AF260" i="5"/>
  <c r="AF194" i="5"/>
  <c r="AF325" i="5"/>
  <c r="AF242" i="5"/>
  <c r="AF399" i="5"/>
  <c r="AF527" i="5"/>
  <c r="AF63" i="5"/>
  <c r="AF480" i="5"/>
  <c r="AF505" i="5"/>
  <c r="AF458" i="5"/>
  <c r="AF478" i="5"/>
  <c r="AF36" i="5"/>
  <c r="AF201" i="5"/>
  <c r="AF181" i="5"/>
  <c r="AF361" i="5"/>
  <c r="AF372" i="5"/>
  <c r="AF52" i="5"/>
  <c r="AF459" i="5"/>
  <c r="AF132" i="5"/>
  <c r="AF190" i="5"/>
  <c r="AF45" i="5"/>
  <c r="AF247" i="5"/>
  <c r="AF279" i="5"/>
  <c r="AF46" i="5"/>
  <c r="AF134" i="5"/>
  <c r="AF368" i="5"/>
  <c r="AF123" i="5"/>
  <c r="AF73" i="5"/>
  <c r="AF403" i="5"/>
  <c r="AF538" i="5"/>
  <c r="AF48" i="5"/>
  <c r="AF166" i="5"/>
  <c r="AF26" i="5"/>
  <c r="AF8" i="5"/>
  <c r="AF540" i="5"/>
  <c r="AF374" i="5"/>
  <c r="AF326" i="5"/>
  <c r="AF99" i="5"/>
  <c r="AF526" i="5"/>
  <c r="AF207" i="5"/>
  <c r="AF290" i="5"/>
  <c r="AF546" i="5"/>
  <c r="AF334" i="5"/>
  <c r="AF547" i="5"/>
  <c r="AF441" i="5"/>
  <c r="AF58" i="5"/>
  <c r="AF110" i="5"/>
  <c r="AF187" i="5"/>
  <c r="AF312" i="5"/>
  <c r="AF313" i="5"/>
  <c r="AF314" i="5"/>
  <c r="AF417" i="5"/>
  <c r="AF66" i="5"/>
  <c r="AF554" i="5"/>
  <c r="AF385" i="5"/>
  <c r="AF447" i="5"/>
  <c r="AF516" i="5"/>
  <c r="AF240" i="5"/>
  <c r="AF323" i="5"/>
  <c r="AF283" i="5"/>
  <c r="AF87" i="5"/>
  <c r="AF178" i="5"/>
  <c r="AF558" i="5"/>
  <c r="AF453" i="5"/>
  <c r="AF31" i="5"/>
  <c r="AP31" i="5" s="1"/>
  <c r="AF333" i="5"/>
  <c r="AF216" i="5"/>
  <c r="AF404" i="5"/>
  <c r="AF350" i="5"/>
  <c r="AF282" i="5"/>
  <c r="AF429" i="5"/>
  <c r="AF175" i="5"/>
  <c r="AF154" i="5"/>
  <c r="AF533" i="5"/>
  <c r="AF434" i="5"/>
  <c r="AF126" i="5"/>
  <c r="AF125" i="5"/>
  <c r="AF525" i="5"/>
  <c r="AF504" i="5"/>
  <c r="AF348" i="5"/>
  <c r="AF23" i="5"/>
  <c r="AF387" i="5"/>
  <c r="AF161" i="5"/>
  <c r="AF42" i="5"/>
  <c r="AF469" i="5"/>
  <c r="AF124" i="5"/>
  <c r="AP124" i="5" s="1"/>
  <c r="AF419" i="5"/>
  <c r="AF158" i="5"/>
  <c r="AF339" i="5"/>
  <c r="AF185" i="5"/>
  <c r="AF222" i="5"/>
  <c r="AF428" i="5"/>
  <c r="AF392" i="5"/>
  <c r="AF448" i="5"/>
  <c r="AF474" i="5"/>
  <c r="AF439" i="5"/>
  <c r="AF108" i="5"/>
  <c r="AF302" i="5"/>
  <c r="AF20" i="5"/>
  <c r="AF151" i="5"/>
  <c r="AF522" i="5"/>
  <c r="AF472" i="5"/>
  <c r="AF549" i="5"/>
  <c r="AF70" i="5"/>
  <c r="AF237" i="5"/>
  <c r="AF317" i="5"/>
  <c r="AF160" i="5"/>
  <c r="AF214" i="5"/>
  <c r="AF444" i="5"/>
  <c r="AF179" i="5"/>
  <c r="AF503" i="5"/>
  <c r="AF236" i="5"/>
  <c r="AF307" i="5"/>
  <c r="AF437" i="5"/>
  <c r="AF479" i="5"/>
  <c r="AF191" i="5"/>
  <c r="AF41" i="5"/>
  <c r="AF229" i="5"/>
  <c r="AF320" i="5"/>
  <c r="AF143" i="5"/>
  <c r="AF249" i="5"/>
  <c r="AF359" i="5"/>
  <c r="AF388" i="5"/>
  <c r="AF211" i="5"/>
  <c r="AF107" i="5"/>
  <c r="AF315" i="5"/>
  <c r="AF462" i="5"/>
  <c r="AF384" i="5"/>
  <c r="AF455" i="5"/>
  <c r="AF200" i="5"/>
  <c r="AF246" i="5"/>
  <c r="AF114" i="5"/>
  <c r="AF433" i="5"/>
  <c r="AF489" i="5"/>
  <c r="AF520" i="5"/>
  <c r="AF91" i="5"/>
  <c r="AF529" i="5"/>
  <c r="AF299" i="5"/>
  <c r="AF117" i="5"/>
  <c r="AF294" i="5"/>
  <c r="AF109" i="5"/>
  <c r="AF543" i="5"/>
  <c r="AF426" i="5"/>
  <c r="AF121" i="5"/>
  <c r="AF235" i="5"/>
  <c r="AF206" i="5"/>
  <c r="AF416" i="5"/>
  <c r="AF369" i="5"/>
  <c r="AF176" i="5"/>
  <c r="AF335" i="5"/>
  <c r="AF223" i="5"/>
  <c r="AF204" i="5"/>
  <c r="AF141" i="5"/>
  <c r="AF218" i="5"/>
  <c r="AF51" i="5"/>
  <c r="AF367" i="5"/>
  <c r="AF173" i="5"/>
  <c r="AF336" i="5"/>
  <c r="AF88" i="5"/>
  <c r="AF103" i="5"/>
  <c r="AF483" i="5"/>
  <c r="AF39" i="5"/>
  <c r="AF180" i="5"/>
  <c r="AF423" i="5"/>
  <c r="AF261" i="5"/>
  <c r="AF402" i="5"/>
  <c r="AF209" i="5"/>
  <c r="AF457" i="5"/>
  <c r="AF251" i="5"/>
  <c r="AF274" i="5"/>
  <c r="AF239" i="5"/>
  <c r="AP239" i="5" s="1"/>
  <c r="AF409" i="5"/>
  <c r="AF199" i="5"/>
  <c r="AF196" i="5"/>
  <c r="AF13" i="5"/>
  <c r="AF220" i="5"/>
  <c r="AF411" i="5"/>
  <c r="AF309" i="5"/>
  <c r="AF28" i="5"/>
  <c r="AF470" i="5"/>
  <c r="AF188" i="5"/>
  <c r="AF170" i="5"/>
  <c r="AF553" i="5"/>
  <c r="AF338" i="5"/>
  <c r="AF446" i="5"/>
  <c r="AF145" i="5"/>
  <c r="AF390" i="5"/>
  <c r="AF502" i="5"/>
  <c r="AF501" i="5"/>
  <c r="AF244" i="5"/>
  <c r="AF60" i="5"/>
  <c r="AF287" i="5"/>
  <c r="AF79" i="5"/>
  <c r="AF150" i="5"/>
  <c r="AF54" i="5"/>
  <c r="AF464" i="5"/>
  <c r="AF159" i="5"/>
  <c r="AF80" i="5"/>
  <c r="AF284" i="5"/>
  <c r="AF442" i="5"/>
  <c r="AF400" i="5"/>
  <c r="AF183" i="5"/>
  <c r="AF491" i="5"/>
  <c r="AF47" i="5"/>
  <c r="AF397" i="5"/>
  <c r="AF171" i="5"/>
  <c r="AF262" i="5"/>
  <c r="AF410" i="5"/>
  <c r="AF61" i="5"/>
  <c r="AF345" i="5"/>
  <c r="AF82" i="5"/>
  <c r="AF67" i="5"/>
  <c r="AF221" i="5"/>
  <c r="AF168" i="5"/>
  <c r="AF269" i="5"/>
  <c r="AF485" i="5"/>
  <c r="AF119" i="5"/>
  <c r="AF463" i="5"/>
  <c r="AF53" i="5"/>
  <c r="AF137" i="5"/>
  <c r="AF494" i="5"/>
  <c r="AF536" i="5"/>
  <c r="AF50" i="5"/>
  <c r="AF322" i="5"/>
  <c r="AF72" i="5"/>
  <c r="AF431" i="5"/>
  <c r="AF92" i="5"/>
  <c r="AF406" i="5"/>
  <c r="AF195" i="5"/>
  <c r="AF213" i="5"/>
  <c r="AF353" i="5"/>
  <c r="AF259" i="5"/>
  <c r="AF86" i="5"/>
  <c r="AF197" i="5"/>
  <c r="AF271" i="5"/>
  <c r="AF528" i="5"/>
  <c r="AF280" i="5"/>
  <c r="AF436" i="5"/>
  <c r="AF186" i="5"/>
  <c r="AF130" i="5"/>
  <c r="AF481" i="5"/>
  <c r="AF296" i="5"/>
  <c r="AF398" i="5"/>
  <c r="AF456" i="5"/>
  <c r="AF101" i="5"/>
  <c r="AF381" i="5"/>
  <c r="AF450" i="5"/>
  <c r="AF383" i="5"/>
  <c r="AF65" i="5"/>
  <c r="AF303" i="5"/>
  <c r="AF147" i="5"/>
  <c r="AF157" i="5"/>
  <c r="AF351" i="5"/>
  <c r="AF421" i="5"/>
  <c r="AF75" i="5"/>
  <c r="AF306" i="5"/>
  <c r="AF68" i="5"/>
  <c r="AF169" i="5"/>
  <c r="AF521" i="5"/>
  <c r="AF219" i="5"/>
  <c r="AF377" i="5"/>
  <c r="AF515" i="5"/>
  <c r="AF354" i="5"/>
  <c r="AF418" i="5"/>
  <c r="AF396" i="5"/>
  <c r="AF129" i="5"/>
  <c r="AF152" i="5"/>
  <c r="AF7" i="5"/>
  <c r="AF59" i="5"/>
  <c r="AF438" i="5"/>
  <c r="AF174" i="5"/>
  <c r="AF289" i="5"/>
  <c r="AF328" i="5"/>
  <c r="AF182" i="5"/>
  <c r="AF484" i="5"/>
  <c r="AF466" i="5"/>
  <c r="AF40" i="5"/>
  <c r="AF362" i="5"/>
  <c r="AF230" i="5"/>
  <c r="AF329" i="5"/>
  <c r="AF519" i="5"/>
  <c r="AF78" i="5"/>
  <c r="AF363" i="5"/>
  <c r="AF44" i="5"/>
  <c r="AF90" i="5"/>
  <c r="AF253" i="5"/>
  <c r="AF380" i="5"/>
  <c r="AF468" i="5"/>
  <c r="AF365" i="5"/>
  <c r="AF341" i="5"/>
  <c r="AF297" i="5"/>
  <c r="AF373" i="5"/>
  <c r="AF22" i="5"/>
  <c r="AF304" i="5"/>
  <c r="AF165" i="5"/>
  <c r="AF449" i="5"/>
  <c r="AF331" i="5"/>
  <c r="AF106" i="5"/>
  <c r="AF69" i="5"/>
  <c r="AF96" i="5"/>
  <c r="AF115" i="5"/>
  <c r="AF263" i="5"/>
  <c r="AF413" i="5"/>
  <c r="AF508" i="5"/>
  <c r="AF275" i="5"/>
  <c r="AF24" i="5"/>
  <c r="AF552" i="5"/>
  <c r="AF530" i="5"/>
  <c r="AF316" i="5"/>
  <c r="AF254" i="5"/>
  <c r="AF270" i="5"/>
  <c r="AF81" i="5"/>
  <c r="AF83" i="5"/>
  <c r="AF405" i="5"/>
  <c r="AF215" i="5"/>
  <c r="AF272" i="5"/>
  <c r="AF337" i="5"/>
  <c r="AF162" i="5"/>
  <c r="AF298" i="5"/>
  <c r="AF25" i="5"/>
  <c r="AF102" i="5"/>
  <c r="AF266" i="5"/>
  <c r="AF224" i="5"/>
  <c r="AF386" i="5"/>
  <c r="AF476" i="5"/>
  <c r="AF286" i="5"/>
  <c r="AF541" i="5"/>
  <c r="AF293" i="5"/>
  <c r="AF120" i="5"/>
  <c r="AF560" i="5"/>
  <c r="AF74" i="5"/>
  <c r="AF352" i="5"/>
  <c r="AP352" i="5" s="1"/>
  <c r="AF10" i="5"/>
  <c r="AF38" i="5"/>
  <c r="AF557" i="5"/>
  <c r="AF407" i="5"/>
  <c r="AF349" i="5"/>
  <c r="AF311" i="5"/>
  <c r="AF192" i="5"/>
  <c r="AF514" i="5"/>
  <c r="AF226" i="5"/>
  <c r="AF498" i="5"/>
  <c r="AF238" i="5"/>
  <c r="AF84" i="5"/>
  <c r="AF471" i="5"/>
  <c r="AF57" i="5"/>
  <c r="AF518" i="5"/>
  <c r="AF531" i="5"/>
  <c r="AF422" i="5"/>
  <c r="AF356" i="5"/>
  <c r="AF35" i="5"/>
  <c r="AF378" i="5"/>
  <c r="AF276" i="5"/>
  <c r="AF64" i="5"/>
  <c r="AF355" i="5"/>
  <c r="AF358" i="5"/>
  <c r="AF332" i="5"/>
  <c r="AF193" i="5"/>
  <c r="AF509" i="5"/>
  <c r="AF225" i="5"/>
  <c r="AF327" i="5"/>
  <c r="AF198" i="5"/>
  <c r="AF482" i="5"/>
  <c r="AF264" i="5"/>
  <c r="AF37" i="5"/>
  <c r="AF473" i="5"/>
  <c r="AF144" i="5"/>
  <c r="AF228" i="5"/>
  <c r="AF97" i="5"/>
  <c r="AF27" i="5"/>
  <c r="AF379" i="5"/>
  <c r="AF49" i="5"/>
  <c r="AF556" i="5"/>
  <c r="AF375" i="5"/>
  <c r="AF248" i="5"/>
  <c r="AF71" i="5"/>
  <c r="AF534" i="5"/>
  <c r="AF492" i="5"/>
  <c r="AF559" i="5"/>
  <c r="AP559" i="5" s="1"/>
  <c r="AF545" i="5"/>
  <c r="AF344" i="5"/>
  <c r="AF111" i="5"/>
  <c r="AF340" i="5"/>
  <c r="AF113" i="5"/>
  <c r="AF512" i="5"/>
  <c r="AF155" i="5"/>
  <c r="AF285" i="5"/>
  <c r="AF149" i="5"/>
  <c r="AF12" i="5"/>
  <c r="AF227" i="5"/>
  <c r="AF493" i="5"/>
  <c r="AF432" i="5"/>
  <c r="AF105" i="5"/>
  <c r="AF34" i="5"/>
  <c r="AF21" i="5"/>
  <c r="AF233" i="5"/>
  <c r="AF273" i="5"/>
  <c r="AF535" i="5"/>
  <c r="AF324" i="5"/>
  <c r="AF382" i="5"/>
  <c r="AF343" i="5"/>
  <c r="AF475" i="5"/>
  <c r="AF202" i="5"/>
  <c r="AF300" i="5"/>
  <c r="AF217" i="5"/>
  <c r="AF184" i="5"/>
  <c r="AF420" i="5"/>
  <c r="AF376" i="5"/>
  <c r="AF301" i="5"/>
  <c r="AF95" i="5"/>
  <c r="AF487" i="5"/>
  <c r="Y428" i="5"/>
  <c r="X428" i="5"/>
  <c r="Y336" i="5"/>
  <c r="X336" i="5"/>
  <c r="X449" i="5"/>
  <c r="Y449" i="5"/>
  <c r="X424" i="5"/>
  <c r="Y424" i="5"/>
  <c r="Y456" i="5"/>
  <c r="X456" i="5"/>
  <c r="X340" i="5"/>
  <c r="Y340" i="5"/>
  <c r="X261" i="5"/>
  <c r="Y261" i="5"/>
  <c r="X439" i="5"/>
  <c r="Y439" i="5"/>
  <c r="X460" i="5"/>
  <c r="Y460" i="5"/>
  <c r="X514" i="5"/>
  <c r="Y514" i="5"/>
  <c r="Y213" i="5"/>
  <c r="X213" i="5"/>
  <c r="X444" i="5"/>
  <c r="Y444" i="5"/>
  <c r="Y181" i="5"/>
  <c r="X181" i="5"/>
  <c r="Y345" i="5"/>
  <c r="X345" i="5"/>
  <c r="Y53" i="5"/>
  <c r="X53" i="5"/>
  <c r="X124" i="5"/>
  <c r="Y124" i="5"/>
  <c r="X288" i="5"/>
  <c r="Y288" i="5"/>
  <c r="Y446" i="5"/>
  <c r="X446" i="5"/>
  <c r="X531" i="5"/>
  <c r="Y531" i="5"/>
  <c r="Y458" i="5"/>
  <c r="X458" i="5"/>
  <c r="X406" i="5"/>
  <c r="Y406" i="5"/>
  <c r="Y402" i="5"/>
  <c r="X402" i="5"/>
  <c r="X49" i="5"/>
  <c r="Y49" i="5"/>
  <c r="Y186" i="5"/>
  <c r="X186" i="5"/>
  <c r="X268" i="5"/>
  <c r="Y268" i="5"/>
  <c r="Y450" i="5"/>
  <c r="X450" i="5"/>
  <c r="X526" i="5"/>
  <c r="Y526" i="5"/>
  <c r="X32" i="5"/>
  <c r="Y32" i="5"/>
  <c r="X360" i="5"/>
  <c r="Y360" i="5"/>
  <c r="X392" i="5"/>
  <c r="Y392" i="5"/>
  <c r="Y487" i="5"/>
  <c r="X487" i="5"/>
  <c r="X279" i="5"/>
  <c r="Y279" i="5"/>
  <c r="X532" i="5"/>
  <c r="Y532" i="5"/>
  <c r="X536" i="5"/>
  <c r="Y536" i="5"/>
  <c r="Y447" i="5"/>
  <c r="X447" i="5"/>
  <c r="Y131" i="5"/>
  <c r="X131" i="5"/>
  <c r="X94" i="5"/>
  <c r="Y94" i="5"/>
  <c r="X169" i="5"/>
  <c r="Y169" i="5"/>
  <c r="Y519" i="5"/>
  <c r="X519" i="5"/>
  <c r="Y386" i="5"/>
  <c r="X386" i="5"/>
  <c r="X329" i="5"/>
  <c r="Y329" i="5"/>
  <c r="X93" i="5"/>
  <c r="Y93" i="5"/>
  <c r="Y122" i="5"/>
  <c r="X122" i="5"/>
  <c r="X369" i="5"/>
  <c r="Y369" i="5"/>
  <c r="B182" i="2"/>
  <c r="B171" i="2"/>
  <c r="B179" i="2" s="1"/>
  <c r="B186" i="2" s="1"/>
  <c r="AV85" i="4"/>
  <c r="U85" i="4"/>
  <c r="AV65" i="4"/>
  <c r="U65" i="4"/>
  <c r="AV146" i="4"/>
  <c r="U146" i="4"/>
  <c r="AV99" i="4"/>
  <c r="U99" i="4"/>
  <c r="AV64" i="4"/>
  <c r="U64" i="4"/>
  <c r="AV29" i="4"/>
  <c r="U29" i="4"/>
  <c r="AV98" i="4"/>
  <c r="U98" i="4"/>
  <c r="AV122" i="4"/>
  <c r="U122" i="4"/>
  <c r="AV129" i="4"/>
  <c r="U129" i="4"/>
  <c r="AV89" i="4"/>
  <c r="U89" i="4"/>
  <c r="AV136" i="4"/>
  <c r="U136" i="4"/>
  <c r="AV91" i="4"/>
  <c r="U91" i="4"/>
  <c r="AV109" i="4"/>
  <c r="U109" i="4"/>
  <c r="AV87" i="4"/>
  <c r="U87" i="4"/>
  <c r="AV113" i="4"/>
  <c r="U113" i="4"/>
  <c r="AV53" i="4"/>
  <c r="U53" i="4"/>
  <c r="AV34" i="4"/>
  <c r="U34" i="4"/>
  <c r="AV76" i="4"/>
  <c r="U76" i="4"/>
  <c r="AV41" i="4"/>
  <c r="U41" i="4"/>
  <c r="AV48" i="4"/>
  <c r="U48" i="4"/>
  <c r="AV37" i="4"/>
  <c r="U37" i="4"/>
  <c r="AV96" i="4"/>
  <c r="U96" i="4"/>
  <c r="AV68" i="4"/>
  <c r="U68" i="4"/>
  <c r="AV50" i="4"/>
  <c r="U50" i="4"/>
  <c r="AV56" i="4"/>
  <c r="U56" i="4"/>
  <c r="AV46" i="4"/>
  <c r="U46" i="4"/>
  <c r="AV102" i="4"/>
  <c r="U102" i="4"/>
  <c r="AV62" i="4"/>
  <c r="U62" i="4"/>
  <c r="U108" i="4"/>
  <c r="AV108" i="4"/>
  <c r="AV95" i="4"/>
  <c r="U95" i="4"/>
  <c r="AV39" i="4"/>
  <c r="U39" i="4"/>
  <c r="AV25" i="4"/>
  <c r="U25" i="4"/>
  <c r="U9" i="4"/>
  <c r="AV9" i="4"/>
  <c r="B39" i="5"/>
  <c r="B38" i="5"/>
  <c r="X26" i="5"/>
  <c r="Y26" i="5"/>
  <c r="X263" i="5"/>
  <c r="Y263" i="5"/>
  <c r="X321" i="5"/>
  <c r="Y321" i="5"/>
  <c r="Y102" i="5"/>
  <c r="X102" i="5"/>
  <c r="Y429" i="5"/>
  <c r="X429" i="5"/>
  <c r="X159" i="5"/>
  <c r="Y159" i="5"/>
  <c r="X362" i="5"/>
  <c r="Y362" i="5"/>
  <c r="X427" i="5"/>
  <c r="Y427" i="5"/>
  <c r="X401" i="5"/>
  <c r="Y401" i="5"/>
  <c r="X240" i="5"/>
  <c r="Y240" i="5"/>
  <c r="X153" i="5"/>
  <c r="Y153" i="5"/>
  <c r="Y478" i="5"/>
  <c r="X478" i="5"/>
  <c r="X244" i="5"/>
  <c r="Y244" i="5"/>
  <c r="Y313" i="5"/>
  <c r="X313" i="5"/>
  <c r="Y78" i="5"/>
  <c r="X78" i="5"/>
  <c r="X470" i="5"/>
  <c r="Y470" i="5"/>
  <c r="AV63" i="4"/>
  <c r="U63" i="4"/>
  <c r="AV119" i="4"/>
  <c r="U119" i="4"/>
  <c r="AV100" i="4"/>
  <c r="U100" i="4"/>
  <c r="AV43" i="4"/>
  <c r="U43" i="4"/>
  <c r="AV139" i="4"/>
  <c r="U139" i="4"/>
  <c r="AV130" i="4"/>
  <c r="U130" i="4"/>
  <c r="AV82" i="4"/>
  <c r="U82" i="4"/>
  <c r="U16" i="4"/>
  <c r="AV16" i="4"/>
  <c r="AV78" i="4"/>
  <c r="U78" i="4"/>
  <c r="AV105" i="4"/>
  <c r="U105" i="4"/>
  <c r="AV104" i="4"/>
  <c r="U104" i="4"/>
  <c r="AV55" i="4"/>
  <c r="U55" i="4"/>
  <c r="AV47" i="4"/>
  <c r="U47" i="4"/>
  <c r="AV135" i="4"/>
  <c r="U135" i="4"/>
  <c r="AV27" i="4"/>
  <c r="U27" i="4"/>
  <c r="AV20" i="4"/>
  <c r="U20" i="4"/>
  <c r="AV69" i="4"/>
  <c r="U69" i="4"/>
  <c r="AV140" i="4"/>
  <c r="U140" i="4"/>
  <c r="AV114" i="4"/>
  <c r="U114" i="4"/>
  <c r="AV88" i="4"/>
  <c r="U88" i="4"/>
  <c r="AV97" i="4"/>
  <c r="U97" i="4"/>
  <c r="AV106" i="4"/>
  <c r="U106" i="4"/>
  <c r="AV118" i="4"/>
  <c r="U118" i="4"/>
  <c r="AV128" i="4"/>
  <c r="U128" i="4"/>
  <c r="AV35" i="4"/>
  <c r="U35" i="4"/>
  <c r="AV144" i="4"/>
  <c r="U144" i="4"/>
  <c r="U24" i="4"/>
  <c r="AV24" i="4"/>
  <c r="AV84" i="4"/>
  <c r="U84" i="4"/>
  <c r="AV10" i="4"/>
  <c r="U10" i="4"/>
  <c r="AV148" i="4"/>
  <c r="U148" i="4"/>
  <c r="AV51" i="4"/>
  <c r="U51" i="4"/>
  <c r="AV70" i="4"/>
  <c r="U70" i="4"/>
  <c r="AV138" i="4"/>
  <c r="U138" i="4"/>
  <c r="AV57" i="4"/>
  <c r="U57" i="4"/>
  <c r="U54" i="4"/>
  <c r="AV54" i="4"/>
  <c r="AV150" i="4"/>
  <c r="U150" i="4"/>
  <c r="AV80" i="4"/>
  <c r="U80" i="4"/>
  <c r="U142" i="4"/>
  <c r="AV142" i="4"/>
  <c r="AC7" i="5"/>
  <c r="Y135" i="5"/>
  <c r="X135" i="5"/>
  <c r="X175" i="5"/>
  <c r="Y175" i="5"/>
  <c r="Y156" i="5"/>
  <c r="X156" i="5"/>
  <c r="X112" i="5"/>
  <c r="Y112" i="5"/>
  <c r="Y527" i="5"/>
  <c r="X527" i="5"/>
  <c r="Y411" i="5"/>
  <c r="X411" i="5"/>
  <c r="X116" i="5"/>
  <c r="Y116" i="5"/>
  <c r="X544" i="5"/>
  <c r="Y544" i="5"/>
  <c r="X398" i="5"/>
  <c r="Y398" i="5"/>
  <c r="X483" i="5"/>
  <c r="Y483" i="5"/>
  <c r="Y66" i="5"/>
  <c r="X66" i="5"/>
  <c r="Y397" i="5"/>
  <c r="X397" i="5"/>
  <c r="X81" i="5"/>
  <c r="Y81" i="5"/>
  <c r="Y27" i="5"/>
  <c r="X27" i="5"/>
  <c r="X190" i="5"/>
  <c r="Y190" i="5"/>
  <c r="X520" i="5"/>
  <c r="Y520" i="5"/>
  <c r="X55" i="5"/>
  <c r="Y55" i="5"/>
  <c r="Y210" i="5"/>
  <c r="X210" i="5"/>
  <c r="Y417" i="5"/>
  <c r="X417" i="5"/>
  <c r="X384" i="5"/>
  <c r="Y384" i="5"/>
  <c r="X337" i="5"/>
  <c r="Y337" i="5"/>
  <c r="X195" i="5"/>
  <c r="Y195" i="5"/>
  <c r="X219" i="5"/>
  <c r="Y219" i="5"/>
  <c r="Y118" i="5"/>
  <c r="X118" i="5"/>
  <c r="X378" i="5"/>
  <c r="Y378" i="5"/>
  <c r="X546" i="5"/>
  <c r="Y546" i="5"/>
  <c r="X275" i="5"/>
  <c r="Y275" i="5"/>
  <c r="X280" i="5"/>
  <c r="Y280" i="5"/>
  <c r="X372" i="5"/>
  <c r="Y372" i="5"/>
  <c r="X143" i="5"/>
  <c r="Y143" i="5"/>
  <c r="X493" i="5"/>
  <c r="Y493" i="5"/>
  <c r="X516" i="5"/>
  <c r="Y516" i="5"/>
  <c r="X155" i="5"/>
  <c r="Y155" i="5"/>
  <c r="X419" i="5"/>
  <c r="Y419" i="5"/>
  <c r="Y498" i="5"/>
  <c r="X498" i="5"/>
  <c r="Y283" i="5"/>
  <c r="X283" i="5"/>
  <c r="Y341" i="5"/>
  <c r="X341" i="5"/>
  <c r="Y205" i="5"/>
  <c r="X205" i="5"/>
  <c r="X319" i="5"/>
  <c r="Y319" i="5"/>
  <c r="X274" i="5"/>
  <c r="Y274" i="5"/>
  <c r="X259" i="5"/>
  <c r="Y259" i="5"/>
  <c r="Y184" i="5"/>
  <c r="X184" i="5"/>
  <c r="Y365" i="5"/>
  <c r="X365" i="5"/>
  <c r="X130" i="5"/>
  <c r="Y130" i="5"/>
  <c r="Y353" i="5"/>
  <c r="X353" i="5"/>
  <c r="Y320" i="5"/>
  <c r="X320" i="5"/>
  <c r="X171" i="5"/>
  <c r="Y171" i="5"/>
  <c r="X45" i="5"/>
  <c r="Y45" i="5"/>
  <c r="Y86" i="5"/>
  <c r="X86" i="5"/>
  <c r="Y146" i="5"/>
  <c r="X146" i="5"/>
  <c r="X377" i="5"/>
  <c r="Y377" i="5"/>
  <c r="X286" i="5"/>
  <c r="Y286" i="5"/>
  <c r="X477" i="5"/>
  <c r="Y477" i="5"/>
  <c r="Y557" i="5"/>
  <c r="X557" i="5"/>
  <c r="Y383" i="5"/>
  <c r="X383" i="5"/>
  <c r="X21" i="5"/>
  <c r="Y21" i="5"/>
  <c r="Y73" i="5"/>
  <c r="X73" i="5"/>
  <c r="X39" i="5"/>
  <c r="Y39" i="5"/>
  <c r="X366" i="5"/>
  <c r="Y366" i="5"/>
  <c r="X328" i="5"/>
  <c r="Y328" i="5"/>
  <c r="Y306" i="5"/>
  <c r="X306" i="5"/>
  <c r="X125" i="5"/>
  <c r="Y125" i="5"/>
  <c r="Y71" i="5"/>
  <c r="X71" i="5"/>
  <c r="Y403" i="5"/>
  <c r="X403" i="5"/>
  <c r="X88" i="5"/>
  <c r="Y88" i="5"/>
  <c r="X304" i="5"/>
  <c r="Y304" i="5"/>
  <c r="X488" i="5"/>
  <c r="Y488" i="5"/>
  <c r="Y346" i="5"/>
  <c r="X346" i="5"/>
  <c r="X265" i="5"/>
  <c r="Y265" i="5"/>
  <c r="Y309" i="5"/>
  <c r="X309" i="5"/>
  <c r="Y85" i="5"/>
  <c r="X85" i="5"/>
  <c r="X459" i="5"/>
  <c r="Y459" i="5"/>
  <c r="Y442" i="5"/>
  <c r="X442" i="5"/>
  <c r="Y307" i="5"/>
  <c r="X307" i="5"/>
  <c r="X64" i="5"/>
  <c r="Y64" i="5"/>
  <c r="Y247" i="5"/>
  <c r="X247" i="5"/>
  <c r="X167" i="5"/>
  <c r="Y167" i="5"/>
  <c r="X465" i="5"/>
  <c r="Y465" i="5"/>
  <c r="Y435" i="5"/>
  <c r="X435" i="5"/>
  <c r="X420" i="5"/>
  <c r="Y420" i="5"/>
  <c r="Y47" i="5"/>
  <c r="X47" i="5"/>
  <c r="X235" i="5"/>
  <c r="Y235" i="5"/>
  <c r="X245" i="5"/>
  <c r="Y245" i="5"/>
  <c r="Y31" i="5"/>
  <c r="X31" i="5"/>
  <c r="X216" i="5"/>
  <c r="Y216" i="5"/>
  <c r="X204" i="5"/>
  <c r="Y204" i="5"/>
  <c r="X371" i="5"/>
  <c r="Y371" i="5"/>
  <c r="X117" i="5"/>
  <c r="Y117" i="5"/>
  <c r="Y486" i="5"/>
  <c r="X486" i="5"/>
  <c r="X358" i="5"/>
  <c r="Y358" i="5"/>
  <c r="X434" i="5"/>
  <c r="Y434" i="5"/>
  <c r="Y256" i="5"/>
  <c r="X256" i="5"/>
  <c r="Y454" i="5"/>
  <c r="X454" i="5"/>
  <c r="X44" i="5"/>
  <c r="Y44" i="5"/>
  <c r="X158" i="5"/>
  <c r="Y158" i="5"/>
  <c r="X537" i="5"/>
  <c r="Y537" i="5"/>
  <c r="Y453" i="5"/>
  <c r="X453" i="5"/>
  <c r="X423" i="5"/>
  <c r="Y423" i="5"/>
  <c r="X90" i="5"/>
  <c r="Y90" i="5"/>
  <c r="X154" i="5"/>
  <c r="Y154" i="5"/>
  <c r="X182" i="5"/>
  <c r="Y182" i="5"/>
  <c r="X508" i="5"/>
  <c r="Y508" i="5"/>
  <c r="Y87" i="5"/>
  <c r="X87" i="5"/>
  <c r="X375" i="5"/>
  <c r="Y375" i="5"/>
  <c r="Y474" i="5"/>
  <c r="X474" i="5"/>
  <c r="X380" i="5"/>
  <c r="Y380" i="5"/>
  <c r="Y473" i="5"/>
  <c r="X473" i="5"/>
  <c r="X409" i="5"/>
  <c r="Y409" i="5"/>
  <c r="Y327" i="5"/>
  <c r="X327" i="5"/>
  <c r="Y412" i="5"/>
  <c r="X412" i="5"/>
  <c r="Y314" i="5"/>
  <c r="X314" i="5"/>
  <c r="X540" i="5"/>
  <c r="Y540" i="5"/>
  <c r="Y52" i="5"/>
  <c r="X52" i="5"/>
  <c r="X438" i="5"/>
  <c r="Y438" i="5"/>
  <c r="X351" i="5"/>
  <c r="Y351" i="5"/>
  <c r="X278" i="5"/>
  <c r="Y278" i="5"/>
  <c r="Y142" i="5"/>
  <c r="X142" i="5"/>
  <c r="Y133" i="5"/>
  <c r="X133" i="5"/>
  <c r="X443" i="5"/>
  <c r="Y443" i="5"/>
  <c r="X84" i="5"/>
  <c r="Y84" i="5"/>
  <c r="X414" i="5"/>
  <c r="Y414" i="5"/>
  <c r="Y552" i="5"/>
  <c r="X552" i="5"/>
  <c r="Y422" i="5"/>
  <c r="X422" i="5"/>
  <c r="Y42" i="5"/>
  <c r="X42" i="5"/>
  <c r="X144" i="5"/>
  <c r="Y144" i="5"/>
  <c r="Y297" i="5"/>
  <c r="X297" i="5"/>
  <c r="X293" i="5"/>
  <c r="Y293" i="5"/>
  <c r="X207" i="5"/>
  <c r="Y207" i="5"/>
  <c r="Y497" i="5"/>
  <c r="X497" i="5"/>
  <c r="X239" i="5"/>
  <c r="Y239" i="5"/>
  <c r="X305" i="5"/>
  <c r="Y305" i="5"/>
  <c r="Y212" i="5"/>
  <c r="X212" i="5"/>
  <c r="X511" i="5"/>
  <c r="Y511" i="5"/>
  <c r="Y262" i="5"/>
  <c r="X262" i="5"/>
  <c r="X410" i="5"/>
  <c r="Y410" i="5"/>
  <c r="X436" i="5"/>
  <c r="Y436" i="5"/>
  <c r="AP103" i="5" l="1"/>
  <c r="AP49" i="5"/>
  <c r="AP128" i="5"/>
  <c r="AP343" i="5"/>
  <c r="AP456" i="5"/>
  <c r="AP178" i="5"/>
  <c r="AR178" i="5" s="1"/>
  <c r="AP112" i="5"/>
  <c r="BI112" i="5" s="1"/>
  <c r="AP482" i="5"/>
  <c r="BI482" i="5" s="1"/>
  <c r="AP535" i="5"/>
  <c r="AQ535" i="5" s="1"/>
  <c r="AP140" i="5"/>
  <c r="AQ140" i="5" s="1"/>
  <c r="AP270" i="5"/>
  <c r="AR270" i="5" s="1"/>
  <c r="AP338" i="5"/>
  <c r="AR338" i="5" s="1"/>
  <c r="AP193" i="5"/>
  <c r="AQ193" i="5" s="1"/>
  <c r="AP80" i="5"/>
  <c r="AQ80" i="5" s="1"/>
  <c r="AP418" i="5"/>
  <c r="AR418" i="5" s="1"/>
  <c r="AP250" i="5"/>
  <c r="AR250" i="5" s="1"/>
  <c r="AP399" i="5"/>
  <c r="BI399" i="5" s="1"/>
  <c r="AP368" i="5"/>
  <c r="AQ368" i="5" s="1"/>
  <c r="AP228" i="5"/>
  <c r="AR228" i="5" s="1"/>
  <c r="AP183" i="5"/>
  <c r="BI183" i="5" s="1"/>
  <c r="AP472" i="5"/>
  <c r="BI472" i="5" s="1"/>
  <c r="AP363" i="5"/>
  <c r="AR363" i="5" s="1"/>
  <c r="AP117" i="5"/>
  <c r="AR117" i="5" s="1"/>
  <c r="AP20" i="5"/>
  <c r="AQ20" i="5" s="1"/>
  <c r="AP526" i="5"/>
  <c r="AR526" i="5" s="1"/>
  <c r="AP70" i="5"/>
  <c r="AR70" i="5" s="1"/>
  <c r="AP321" i="5"/>
  <c r="AQ321" i="5" s="1"/>
  <c r="AP407" i="5"/>
  <c r="BI407" i="5" s="1"/>
  <c r="AP306" i="5"/>
  <c r="BI306" i="5" s="1"/>
  <c r="AP235" i="5"/>
  <c r="BI235" i="5" s="1"/>
  <c r="AP375" i="5"/>
  <c r="AQ375" i="5" s="1"/>
  <c r="AP518" i="5"/>
  <c r="BI518" i="5" s="1"/>
  <c r="AP541" i="5"/>
  <c r="BI541" i="5" s="1"/>
  <c r="AP224" i="5"/>
  <c r="AR224" i="5" s="1"/>
  <c r="AP243" i="5"/>
  <c r="AQ243" i="5" s="1"/>
  <c r="AP442" i="5"/>
  <c r="AR442" i="5" s="1"/>
  <c r="AP21" i="5"/>
  <c r="AR21" i="5" s="1"/>
  <c r="AP331" i="5"/>
  <c r="BI331" i="5" s="1"/>
  <c r="AP184" i="5"/>
  <c r="BI184" i="5" s="1"/>
  <c r="AP473" i="5"/>
  <c r="BI473" i="5" s="1"/>
  <c r="AP286" i="5"/>
  <c r="BI286" i="5" s="1"/>
  <c r="AP253" i="5"/>
  <c r="AQ253" i="5" s="1"/>
  <c r="AP431" i="5"/>
  <c r="BI431" i="5" s="1"/>
  <c r="AP171" i="5"/>
  <c r="AQ171" i="5" s="1"/>
  <c r="AP101" i="5"/>
  <c r="BI101" i="5" s="1"/>
  <c r="AP344" i="5"/>
  <c r="AQ344" i="5" s="1"/>
  <c r="AP483" i="5"/>
  <c r="BI483" i="5" s="1"/>
  <c r="AP108" i="5"/>
  <c r="AQ108" i="5" s="1"/>
  <c r="AP449" i="5"/>
  <c r="AQ449" i="5" s="1"/>
  <c r="AP285" i="5"/>
  <c r="AQ285" i="5" s="1"/>
  <c r="AP336" i="5"/>
  <c r="AQ336" i="5" s="1"/>
  <c r="AP229" i="5"/>
  <c r="AR229" i="5" s="1"/>
  <c r="AP43" i="5"/>
  <c r="AR43" i="5" s="1"/>
  <c r="AP52" i="5"/>
  <c r="AR52" i="5" s="1"/>
  <c r="AP367" i="5"/>
  <c r="AQ367" i="5" s="1"/>
  <c r="AP406" i="5"/>
  <c r="BI406" i="5" s="1"/>
  <c r="AP471" i="5"/>
  <c r="AR471" i="5" s="1"/>
  <c r="AP476" i="5"/>
  <c r="AR476" i="5" s="1"/>
  <c r="AP397" i="5"/>
  <c r="AR397" i="5" s="1"/>
  <c r="AP23" i="5"/>
  <c r="BI23" i="5" s="1"/>
  <c r="AP202" i="5"/>
  <c r="AQ202" i="5" s="1"/>
  <c r="AP515" i="5"/>
  <c r="AQ515" i="5" s="1"/>
  <c r="AP521" i="5"/>
  <c r="AR521" i="5" s="1"/>
  <c r="AP132" i="5"/>
  <c r="AR132" i="5" s="1"/>
  <c r="AP358" i="5"/>
  <c r="AQ358" i="5" s="1"/>
  <c r="AP466" i="5"/>
  <c r="AQ466" i="5" s="1"/>
  <c r="AP220" i="5"/>
  <c r="BI220" i="5" s="1"/>
  <c r="AP292" i="5"/>
  <c r="AQ292" i="5" s="1"/>
  <c r="AP414" i="5"/>
  <c r="AR414" i="5" s="1"/>
  <c r="AP105" i="5"/>
  <c r="AQ105" i="5" s="1"/>
  <c r="AP119" i="5"/>
  <c r="BI119" i="5" s="1"/>
  <c r="AP181" i="5"/>
  <c r="AQ181" i="5" s="1"/>
  <c r="AP259" i="5"/>
  <c r="AQ259" i="5" s="1"/>
  <c r="AP64" i="5"/>
  <c r="AQ64" i="5" s="1"/>
  <c r="AP213" i="5"/>
  <c r="AQ213" i="5" s="1"/>
  <c r="AP365" i="5"/>
  <c r="AR365" i="5" s="1"/>
  <c r="AP468" i="5"/>
  <c r="AR468" i="5" s="1"/>
  <c r="AP92" i="5"/>
  <c r="AQ92" i="5" s="1"/>
  <c r="AP160" i="5"/>
  <c r="BI160" i="5" s="1"/>
  <c r="AP216" i="5"/>
  <c r="BI216" i="5" s="1"/>
  <c r="AP241" i="5"/>
  <c r="AR241" i="5" s="1"/>
  <c r="AP138" i="5"/>
  <c r="BI138" i="5" s="1"/>
  <c r="AP391" i="5"/>
  <c r="AR391" i="5" s="1"/>
  <c r="AP111" i="5"/>
  <c r="BI111" i="5" s="1"/>
  <c r="AP96" i="5"/>
  <c r="AQ96" i="5" s="1"/>
  <c r="AP143" i="5"/>
  <c r="AQ143" i="5" s="1"/>
  <c r="AP231" i="5"/>
  <c r="AQ231" i="5" s="1"/>
  <c r="AP330" i="5"/>
  <c r="AQ330" i="5" s="1"/>
  <c r="AP304" i="5"/>
  <c r="BI304" i="5" s="1"/>
  <c r="AP421" i="5"/>
  <c r="AQ421" i="5" s="1"/>
  <c r="AP8" i="5"/>
  <c r="AQ8" i="5" s="1"/>
  <c r="AP432" i="5"/>
  <c r="AR432" i="5" s="1"/>
  <c r="AP289" i="5"/>
  <c r="BI289" i="5" s="1"/>
  <c r="AP287" i="5"/>
  <c r="AQ287" i="5" s="1"/>
  <c r="AP146" i="5"/>
  <c r="AQ146" i="5" s="1"/>
  <c r="AP379" i="5"/>
  <c r="BI379" i="5" s="1"/>
  <c r="AP298" i="5"/>
  <c r="AQ298" i="5" s="1"/>
  <c r="AP141" i="5"/>
  <c r="AR141" i="5" s="1"/>
  <c r="AP227" i="5"/>
  <c r="AQ227" i="5" s="1"/>
  <c r="AP438" i="5"/>
  <c r="BI438" i="5" s="1"/>
  <c r="AP274" i="5"/>
  <c r="AR274" i="5" s="1"/>
  <c r="AP282" i="5"/>
  <c r="AR282" i="5" s="1"/>
  <c r="AP339" i="5"/>
  <c r="BI339" i="5" s="1"/>
  <c r="AP98" i="5"/>
  <c r="BI98" i="5" s="1"/>
  <c r="AP546" i="5"/>
  <c r="BI546" i="5" s="1"/>
  <c r="AP192" i="5"/>
  <c r="AQ192" i="5" s="1"/>
  <c r="AP172" i="5"/>
  <c r="BI172" i="5" s="1"/>
  <c r="AP467" i="5"/>
  <c r="BI467" i="5" s="1"/>
  <c r="AP106" i="5"/>
  <c r="AQ106" i="5" s="1"/>
  <c r="AP244" i="5"/>
  <c r="AR244" i="5" s="1"/>
  <c r="AP356" i="5"/>
  <c r="BI356" i="5" s="1"/>
  <c r="AP345" i="5"/>
  <c r="BI345" i="5" s="1"/>
  <c r="AP487" i="5"/>
  <c r="AR487" i="5" s="1"/>
  <c r="AP512" i="5"/>
  <c r="AQ512" i="5" s="1"/>
  <c r="AP346" i="5"/>
  <c r="AQ346" i="5" s="1"/>
  <c r="AP170" i="5"/>
  <c r="BI170" i="5" s="1"/>
  <c r="AP481" i="5"/>
  <c r="AQ481" i="5" s="1"/>
  <c r="AP400" i="5"/>
  <c r="AR400" i="5" s="1"/>
  <c r="AP207" i="5"/>
  <c r="BI207" i="5" s="1"/>
  <c r="AP436" i="5"/>
  <c r="BI436" i="5" s="1"/>
  <c r="AP525" i="5"/>
  <c r="AQ525" i="5" s="1"/>
  <c r="AP99" i="5"/>
  <c r="AR99" i="5" s="1"/>
  <c r="AP139" i="5"/>
  <c r="BI139" i="5" s="1"/>
  <c r="AP277" i="5"/>
  <c r="AQ277" i="5" s="1"/>
  <c r="AP135" i="5"/>
  <c r="BI135" i="5" s="1"/>
  <c r="AP528" i="5"/>
  <c r="AR528" i="5" s="1"/>
  <c r="AP129" i="5"/>
  <c r="AQ129" i="5" s="1"/>
  <c r="AP86" i="5"/>
  <c r="AR86" i="5" s="1"/>
  <c r="AP197" i="5"/>
  <c r="AQ197" i="5" s="1"/>
  <c r="AP508" i="5"/>
  <c r="AQ508" i="5" s="1"/>
  <c r="AP266" i="5"/>
  <c r="AR266" i="5" s="1"/>
  <c r="AP65" i="5"/>
  <c r="AR65" i="5" s="1"/>
  <c r="AP291" i="5"/>
  <c r="AQ291" i="5" s="1"/>
  <c r="AP493" i="5"/>
  <c r="AR493" i="5" s="1"/>
  <c r="AP74" i="5"/>
  <c r="AR74" i="5" s="1"/>
  <c r="AP82" i="5"/>
  <c r="AQ82" i="5" s="1"/>
  <c r="AP478" i="5"/>
  <c r="AQ478" i="5" s="1"/>
  <c r="AP254" i="5"/>
  <c r="BI254" i="5" s="1"/>
  <c r="AP420" i="5"/>
  <c r="BI420" i="5" s="1"/>
  <c r="AP380" i="5"/>
  <c r="AQ380" i="5" s="1"/>
  <c r="AP511" i="5"/>
  <c r="AR511" i="5" s="1"/>
  <c r="AP376" i="5"/>
  <c r="AQ376" i="5" s="1"/>
  <c r="AP357" i="5"/>
  <c r="AR357" i="5" s="1"/>
  <c r="AP275" i="5"/>
  <c r="BI275" i="5" s="1"/>
  <c r="AP261" i="5"/>
  <c r="AQ261" i="5" s="1"/>
  <c r="AP237" i="5"/>
  <c r="AQ237" i="5" s="1"/>
  <c r="AP469" i="5"/>
  <c r="BI469" i="5" s="1"/>
  <c r="AP134" i="5"/>
  <c r="BI134" i="5" s="1"/>
  <c r="AP263" i="5"/>
  <c r="AR263" i="5" s="1"/>
  <c r="AP387" i="5"/>
  <c r="AQ387" i="5" s="1"/>
  <c r="AP109" i="5"/>
  <c r="AR109" i="5" s="1"/>
  <c r="AP522" i="5"/>
  <c r="BI522" i="5" s="1"/>
  <c r="AP470" i="5"/>
  <c r="BI470" i="5" s="1"/>
  <c r="AP203" i="5"/>
  <c r="AQ203" i="5" s="1"/>
  <c r="AP133" i="5"/>
  <c r="AR133" i="5" s="1"/>
  <c r="AP40" i="5"/>
  <c r="AQ40" i="5" s="1"/>
  <c r="AP173" i="5"/>
  <c r="AR173" i="5" s="1"/>
  <c r="AP191" i="5"/>
  <c r="AQ191" i="5" s="1"/>
  <c r="AP517" i="5"/>
  <c r="BI517" i="5" s="1"/>
  <c r="AP256" i="5"/>
  <c r="AQ256" i="5" s="1"/>
  <c r="AP26" i="5"/>
  <c r="BI26" i="5" s="1"/>
  <c r="AP88" i="5"/>
  <c r="AR88" i="5" s="1"/>
  <c r="AP147" i="5"/>
  <c r="BI147" i="5" s="1"/>
  <c r="AP223" i="5"/>
  <c r="BI223" i="5" s="1"/>
  <c r="AP246" i="5"/>
  <c r="AR246" i="5" s="1"/>
  <c r="AP222" i="5"/>
  <c r="BI222" i="5" s="1"/>
  <c r="AP506" i="5"/>
  <c r="AQ506" i="5" s="1"/>
  <c r="AP157" i="5"/>
  <c r="AR157" i="5" s="1"/>
  <c r="AP175" i="5"/>
  <c r="BI175" i="5" s="1"/>
  <c r="AP538" i="5"/>
  <c r="BI538" i="5" s="1"/>
  <c r="AP398" i="5"/>
  <c r="AQ398" i="5" s="1"/>
  <c r="AP53" i="5"/>
  <c r="AR53" i="5" s="1"/>
  <c r="AP215" i="5"/>
  <c r="BI215" i="5" s="1"/>
  <c r="AP83" i="5"/>
  <c r="AR83" i="5" s="1"/>
  <c r="AP27" i="5"/>
  <c r="BI27" i="5" s="1"/>
  <c r="AP480" i="5"/>
  <c r="AQ480" i="5" s="1"/>
  <c r="AP536" i="5"/>
  <c r="AR536" i="5" s="1"/>
  <c r="AP543" i="5"/>
  <c r="AQ543" i="5" s="1"/>
  <c r="AP519" i="5"/>
  <c r="BI519" i="5" s="1"/>
  <c r="AP490" i="5"/>
  <c r="BI490" i="5" s="1"/>
  <c r="AP496" i="5"/>
  <c r="AQ496" i="5" s="1"/>
  <c r="AP477" i="5"/>
  <c r="AQ477" i="5" s="1"/>
  <c r="AP534" i="5"/>
  <c r="BI534" i="5" s="1"/>
  <c r="AP516" i="5"/>
  <c r="AQ516" i="5" s="1"/>
  <c r="AP489" i="5"/>
  <c r="BI489" i="5" s="1"/>
  <c r="AP560" i="5"/>
  <c r="AQ560" i="5" s="1"/>
  <c r="AP550" i="5"/>
  <c r="BI550" i="5" s="1"/>
  <c r="AP507" i="5"/>
  <c r="AQ507" i="5" s="1"/>
  <c r="AP95" i="5"/>
  <c r="AR95" i="5" s="1"/>
  <c r="AP34" i="5"/>
  <c r="AQ34" i="5" s="1"/>
  <c r="AP198" i="5"/>
  <c r="AQ198" i="5" s="1"/>
  <c r="AP57" i="5"/>
  <c r="BI57" i="5" s="1"/>
  <c r="AP341" i="5"/>
  <c r="AQ341" i="5" s="1"/>
  <c r="AP182" i="5"/>
  <c r="BI182" i="5" s="1"/>
  <c r="AP303" i="5"/>
  <c r="AR303" i="5" s="1"/>
  <c r="AP463" i="5"/>
  <c r="AR463" i="5" s="1"/>
  <c r="AP150" i="5"/>
  <c r="AR150" i="5" s="1"/>
  <c r="AP309" i="5"/>
  <c r="BI309" i="5" s="1"/>
  <c r="AP317" i="5"/>
  <c r="AQ317" i="5" s="1"/>
  <c r="AP302" i="5"/>
  <c r="AR302" i="5" s="1"/>
  <c r="AP533" i="5"/>
  <c r="AR533" i="5" s="1"/>
  <c r="AP194" i="5"/>
  <c r="AR194" i="5" s="1"/>
  <c r="AP465" i="5"/>
  <c r="BI465" i="5" s="1"/>
  <c r="AP131" i="5"/>
  <c r="BI131" i="5" s="1"/>
  <c r="AP445" i="5"/>
  <c r="BI445" i="5" s="1"/>
  <c r="AP29" i="5"/>
  <c r="BI29" i="5" s="1"/>
  <c r="AP395" i="5"/>
  <c r="BI395" i="5" s="1"/>
  <c r="AP378" i="5"/>
  <c r="AR378" i="5" s="1"/>
  <c r="AP293" i="5"/>
  <c r="AR293" i="5" s="1"/>
  <c r="AP81" i="5"/>
  <c r="BI81" i="5" s="1"/>
  <c r="AP130" i="5"/>
  <c r="AQ130" i="5" s="1"/>
  <c r="AP121" i="5"/>
  <c r="BI121" i="5" s="1"/>
  <c r="AP236" i="5"/>
  <c r="BI236" i="5" s="1"/>
  <c r="AP439" i="5"/>
  <c r="AQ439" i="5" s="1"/>
  <c r="AP158" i="5"/>
  <c r="AR158" i="5" s="1"/>
  <c r="AP453" i="5"/>
  <c r="BI453" i="5" s="1"/>
  <c r="AP212" i="5"/>
  <c r="AR212" i="5" s="1"/>
  <c r="AP370" i="5"/>
  <c r="BI370" i="5" s="1"/>
  <c r="AP234" i="5"/>
  <c r="BI234" i="5" s="1"/>
  <c r="AP382" i="5"/>
  <c r="AQ382" i="5" s="1"/>
  <c r="AP509" i="5"/>
  <c r="BI509" i="5" s="1"/>
  <c r="AP35" i="5"/>
  <c r="AR35" i="5" s="1"/>
  <c r="AP238" i="5"/>
  <c r="AR238" i="5" s="1"/>
  <c r="AP557" i="5"/>
  <c r="AQ557" i="5" s="1"/>
  <c r="AP230" i="5"/>
  <c r="AQ230" i="5" s="1"/>
  <c r="AP174" i="5"/>
  <c r="BI174" i="5" s="1"/>
  <c r="AP354" i="5"/>
  <c r="AR354" i="5" s="1"/>
  <c r="AP450" i="5"/>
  <c r="AQ450" i="5" s="1"/>
  <c r="AP50" i="5"/>
  <c r="AQ50" i="5" s="1"/>
  <c r="AP269" i="5"/>
  <c r="AR269" i="5" s="1"/>
  <c r="AP426" i="5"/>
  <c r="AQ426" i="5" s="1"/>
  <c r="AP474" i="5"/>
  <c r="AR474" i="5" s="1"/>
  <c r="AP385" i="5"/>
  <c r="BI385" i="5" s="1"/>
  <c r="AP48" i="5"/>
  <c r="BI48" i="5" s="1"/>
  <c r="AP279" i="5"/>
  <c r="AR279" i="5" s="1"/>
  <c r="AP361" i="5"/>
  <c r="AQ361" i="5" s="1"/>
  <c r="AP63" i="5"/>
  <c r="AR63" i="5" s="1"/>
  <c r="AP424" i="5"/>
  <c r="AQ424" i="5" s="1"/>
  <c r="AP319" i="5"/>
  <c r="BI319" i="5" s="1"/>
  <c r="AP19" i="5"/>
  <c r="BI19" i="5" s="1"/>
  <c r="AP122" i="5"/>
  <c r="BI122" i="5" s="1"/>
  <c r="AP310" i="5"/>
  <c r="AQ310" i="5" s="1"/>
  <c r="AP393" i="5"/>
  <c r="AQ393" i="5" s="1"/>
  <c r="AP305" i="5"/>
  <c r="BI305" i="5" s="1"/>
  <c r="AP499" i="5"/>
  <c r="BI499" i="5" s="1"/>
  <c r="AP217" i="5"/>
  <c r="BI217" i="5" s="1"/>
  <c r="AP273" i="5"/>
  <c r="BI273" i="5" s="1"/>
  <c r="AP332" i="5"/>
  <c r="AR332" i="5" s="1"/>
  <c r="AP226" i="5"/>
  <c r="AQ226" i="5" s="1"/>
  <c r="AP59" i="5"/>
  <c r="AQ59" i="5" s="1"/>
  <c r="AP351" i="5"/>
  <c r="AQ351" i="5" s="1"/>
  <c r="AP221" i="5"/>
  <c r="BI221" i="5" s="1"/>
  <c r="AP433" i="5"/>
  <c r="AR433" i="5" s="1"/>
  <c r="AP87" i="5"/>
  <c r="BI87" i="5" s="1"/>
  <c r="AP403" i="5"/>
  <c r="BI403" i="5" s="1"/>
  <c r="AP201" i="5"/>
  <c r="AR201" i="5" s="1"/>
  <c r="AP268" i="5"/>
  <c r="AQ268" i="5" s="1"/>
  <c r="AP408" i="5"/>
  <c r="BI408" i="5" s="1"/>
  <c r="AP537" i="5"/>
  <c r="AR537" i="5" s="1"/>
  <c r="AP208" i="5"/>
  <c r="BI208" i="5" s="1"/>
  <c r="AP412" i="5"/>
  <c r="BI412" i="5" s="1"/>
  <c r="AP245" i="5"/>
  <c r="BI245" i="5" s="1"/>
  <c r="AP233" i="5"/>
  <c r="AR233" i="5" s="1"/>
  <c r="AP149" i="5"/>
  <c r="BI149" i="5" s="1"/>
  <c r="AP545" i="5"/>
  <c r="AQ545" i="5" s="1"/>
  <c r="AP272" i="5"/>
  <c r="AQ272" i="5" s="1"/>
  <c r="AP373" i="5"/>
  <c r="BI373" i="5" s="1"/>
  <c r="AP44" i="5"/>
  <c r="AR44" i="5" s="1"/>
  <c r="AP137" i="5"/>
  <c r="AR137" i="5" s="1"/>
  <c r="AP67" i="5"/>
  <c r="AQ67" i="5" s="1"/>
  <c r="AP464" i="5"/>
  <c r="AR464" i="5" s="1"/>
  <c r="AP502" i="5"/>
  <c r="AR502" i="5" s="1"/>
  <c r="AP423" i="5"/>
  <c r="AR423" i="5" s="1"/>
  <c r="AP114" i="5"/>
  <c r="BI114" i="5" s="1"/>
  <c r="AP214" i="5"/>
  <c r="AR214" i="5" s="1"/>
  <c r="AP428" i="5"/>
  <c r="AQ428" i="5" s="1"/>
  <c r="AP42" i="5"/>
  <c r="AR42" i="5" s="1"/>
  <c r="AP126" i="5"/>
  <c r="AQ126" i="5" s="1"/>
  <c r="AP283" i="5"/>
  <c r="BI283" i="5" s="1"/>
  <c r="AP417" i="5"/>
  <c r="BI417" i="5" s="1"/>
  <c r="AP374" i="5"/>
  <c r="AR374" i="5" s="1"/>
  <c r="AP190" i="5"/>
  <c r="AR190" i="5" s="1"/>
  <c r="AP36" i="5"/>
  <c r="BI36" i="5" s="1"/>
  <c r="AP389" i="5"/>
  <c r="AQ389" i="5" s="1"/>
  <c r="AP486" i="5"/>
  <c r="AR486" i="5" s="1"/>
  <c r="AP257" i="5"/>
  <c r="BI257" i="5" s="1"/>
  <c r="AP451" i="5"/>
  <c r="BI451" i="5" s="1"/>
  <c r="AP548" i="5"/>
  <c r="AQ548" i="5" s="1"/>
  <c r="AP100" i="5"/>
  <c r="AR100" i="5" s="1"/>
  <c r="AP153" i="5"/>
  <c r="AQ153" i="5" s="1"/>
  <c r="AP189" i="5"/>
  <c r="BI189" i="5" s="1"/>
  <c r="AP440" i="5"/>
  <c r="BI440" i="5" s="1"/>
  <c r="AP461" i="5"/>
  <c r="AQ461" i="5" s="1"/>
  <c r="X80" i="4"/>
  <c r="AJ80" i="4" s="1"/>
  <c r="X91" i="4"/>
  <c r="AJ91" i="4" s="1"/>
  <c r="AP10" i="5"/>
  <c r="BI10" i="5" s="1"/>
  <c r="X99" i="4"/>
  <c r="AJ99" i="4" s="1"/>
  <c r="X71" i="4"/>
  <c r="AJ71" i="4" s="1"/>
  <c r="X138" i="4"/>
  <c r="AJ138" i="4" s="1"/>
  <c r="X68" i="4"/>
  <c r="AJ68" i="4" s="1"/>
  <c r="X115" i="4"/>
  <c r="AJ115" i="4" s="1"/>
  <c r="X70" i="4"/>
  <c r="AJ70" i="4" s="1"/>
  <c r="X72" i="4"/>
  <c r="AJ72" i="4" s="1"/>
  <c r="X132" i="4"/>
  <c r="AJ132" i="4" s="1"/>
  <c r="X41" i="4"/>
  <c r="AJ41" i="4" s="1"/>
  <c r="X120" i="4"/>
  <c r="AJ120" i="4" s="1"/>
  <c r="X107" i="4"/>
  <c r="AJ107" i="4" s="1"/>
  <c r="X150" i="4"/>
  <c r="AJ150" i="4" s="1"/>
  <c r="X83" i="4"/>
  <c r="AJ83" i="4" s="1"/>
  <c r="X84" i="4"/>
  <c r="AJ84" i="4" s="1"/>
  <c r="X100" i="4"/>
  <c r="AJ100" i="4" s="1"/>
  <c r="X119" i="4"/>
  <c r="AJ119" i="4" s="1"/>
  <c r="BE10" i="5"/>
  <c r="BD10" i="5"/>
  <c r="X106" i="4"/>
  <c r="AJ106" i="4" s="1"/>
  <c r="Y106" i="4"/>
  <c r="AR106" i="4" s="1"/>
  <c r="X78" i="4"/>
  <c r="AJ78" i="4" s="1"/>
  <c r="Y78" i="4"/>
  <c r="AR78" i="4" s="1"/>
  <c r="Y62" i="4"/>
  <c r="AR62" i="4" s="1"/>
  <c r="X155" i="4"/>
  <c r="AJ155" i="4" s="1"/>
  <c r="Y155" i="4"/>
  <c r="AR155" i="4" s="1"/>
  <c r="X152" i="4"/>
  <c r="AJ152" i="4" s="1"/>
  <c r="Y152" i="4"/>
  <c r="AR152" i="4" s="1"/>
  <c r="X127" i="4"/>
  <c r="AJ127" i="4" s="1"/>
  <c r="Y127" i="4"/>
  <c r="AR127" i="4" s="1"/>
  <c r="X77" i="4"/>
  <c r="AJ77" i="4" s="1"/>
  <c r="Y77" i="4"/>
  <c r="AR77" i="4" s="1"/>
  <c r="X149" i="4"/>
  <c r="AJ149" i="4" s="1"/>
  <c r="Y149" i="4"/>
  <c r="AR149" i="4" s="1"/>
  <c r="X134" i="4"/>
  <c r="AJ134" i="4" s="1"/>
  <c r="Y134" i="4"/>
  <c r="AR134" i="4" s="1"/>
  <c r="X114" i="4"/>
  <c r="AJ114" i="4" s="1"/>
  <c r="Y114" i="4"/>
  <c r="AR114" i="4" s="1"/>
  <c r="X76" i="4"/>
  <c r="AJ76" i="4" s="1"/>
  <c r="Y76" i="4"/>
  <c r="AR76" i="4" s="1"/>
  <c r="X89" i="4"/>
  <c r="AJ89" i="4" s="1"/>
  <c r="Y89" i="4"/>
  <c r="AR89" i="4" s="1"/>
  <c r="Y61" i="4"/>
  <c r="AR61" i="4" s="1"/>
  <c r="X145" i="4"/>
  <c r="AJ145" i="4" s="1"/>
  <c r="Y145" i="4"/>
  <c r="AR145" i="4" s="1"/>
  <c r="X94" i="4"/>
  <c r="AJ94" i="4" s="1"/>
  <c r="Y94" i="4"/>
  <c r="AR94" i="4" s="1"/>
  <c r="X121" i="4"/>
  <c r="AJ121" i="4" s="1"/>
  <c r="Y121" i="4"/>
  <c r="AR121" i="4" s="1"/>
  <c r="X97" i="4"/>
  <c r="AJ97" i="4" s="1"/>
  <c r="Y97" i="4"/>
  <c r="AR97" i="4" s="1"/>
  <c r="AP69" i="5"/>
  <c r="AR69" i="5" s="1"/>
  <c r="AP297" i="5"/>
  <c r="AR297" i="5" s="1"/>
  <c r="AP152" i="5"/>
  <c r="AR152" i="5" s="1"/>
  <c r="AP180" i="5"/>
  <c r="AR180" i="5" s="1"/>
  <c r="AP51" i="5"/>
  <c r="AQ51" i="5" s="1"/>
  <c r="AP520" i="5"/>
  <c r="BI520" i="5" s="1"/>
  <c r="AP388" i="5"/>
  <c r="AQ388" i="5" s="1"/>
  <c r="AP479" i="5"/>
  <c r="BI479" i="5" s="1"/>
  <c r="AP549" i="5"/>
  <c r="BI549" i="5" s="1"/>
  <c r="AP434" i="5"/>
  <c r="AQ434" i="5" s="1"/>
  <c r="AP323" i="5"/>
  <c r="BI323" i="5" s="1"/>
  <c r="AP110" i="5"/>
  <c r="AQ110" i="5" s="1"/>
  <c r="AP435" i="5"/>
  <c r="BI435" i="5" s="1"/>
  <c r="AP510" i="5"/>
  <c r="AQ510" i="5" s="1"/>
  <c r="AP443" i="5"/>
  <c r="AR443" i="5" s="1"/>
  <c r="AP104" i="5"/>
  <c r="AQ104" i="5" s="1"/>
  <c r="AP364" i="5"/>
  <c r="BI364" i="5" s="1"/>
  <c r="AP281" i="5"/>
  <c r="AR281" i="5" s="1"/>
  <c r="X140" i="4"/>
  <c r="AJ140" i="4" s="1"/>
  <c r="Y140" i="4"/>
  <c r="AR140" i="4" s="1"/>
  <c r="X136" i="4"/>
  <c r="AJ136" i="4" s="1"/>
  <c r="Y136" i="4"/>
  <c r="AR136" i="4" s="1"/>
  <c r="X111" i="4"/>
  <c r="AJ111" i="4" s="1"/>
  <c r="Y111" i="4"/>
  <c r="AR111" i="4" s="1"/>
  <c r="X73" i="4"/>
  <c r="AJ73" i="4" s="1"/>
  <c r="Y73" i="4"/>
  <c r="AR73" i="4" s="1"/>
  <c r="X156" i="4"/>
  <c r="AJ156" i="4" s="1"/>
  <c r="Y156" i="4"/>
  <c r="AR156" i="4" s="1"/>
  <c r="X66" i="4"/>
  <c r="AJ66" i="4" s="1"/>
  <c r="Y66" i="4"/>
  <c r="AR66" i="4" s="1"/>
  <c r="X112" i="4"/>
  <c r="AJ112" i="4" s="1"/>
  <c r="Y112" i="4"/>
  <c r="AR112" i="4" s="1"/>
  <c r="X131" i="4"/>
  <c r="AJ131" i="4" s="1"/>
  <c r="Y131" i="4"/>
  <c r="AR131" i="4" s="1"/>
  <c r="X118" i="4"/>
  <c r="AJ118" i="4" s="1"/>
  <c r="Y118" i="4"/>
  <c r="AR118" i="4" s="1"/>
  <c r="X82" i="4"/>
  <c r="AJ82" i="4" s="1"/>
  <c r="Y82" i="4"/>
  <c r="AR82" i="4" s="1"/>
  <c r="X95" i="4"/>
  <c r="AJ95" i="4" s="1"/>
  <c r="Y95" i="4"/>
  <c r="AR95" i="4" s="1"/>
  <c r="Y56" i="4"/>
  <c r="AR56" i="4" s="1"/>
  <c r="X141" i="4"/>
  <c r="AJ141" i="4" s="1"/>
  <c r="Y141" i="4"/>
  <c r="AR141" i="4" s="1"/>
  <c r="X101" i="4"/>
  <c r="AJ101" i="4" s="1"/>
  <c r="Y101" i="4"/>
  <c r="AR101" i="4" s="1"/>
  <c r="Y59" i="4"/>
  <c r="AR59" i="4" s="1"/>
  <c r="X86" i="4"/>
  <c r="AJ86" i="4" s="1"/>
  <c r="Y86" i="4"/>
  <c r="AR86" i="4" s="1"/>
  <c r="X90" i="4"/>
  <c r="AJ90" i="4" s="1"/>
  <c r="Y90" i="4"/>
  <c r="AR90" i="4" s="1"/>
  <c r="X81" i="4"/>
  <c r="AJ81" i="4" s="1"/>
  <c r="Y81" i="4"/>
  <c r="AR81" i="4" s="1"/>
  <c r="X69" i="4"/>
  <c r="AJ69" i="4" s="1"/>
  <c r="Y69" i="4"/>
  <c r="AR69" i="4" s="1"/>
  <c r="Y63" i="4"/>
  <c r="AR63" i="4" s="1"/>
  <c r="X108" i="4"/>
  <c r="AJ108" i="4" s="1"/>
  <c r="Y108" i="4"/>
  <c r="AR108" i="4" s="1"/>
  <c r="X122" i="4"/>
  <c r="AJ122" i="4" s="1"/>
  <c r="Y122" i="4"/>
  <c r="AR122" i="4" s="1"/>
  <c r="AP355" i="5"/>
  <c r="AQ355" i="5" s="1"/>
  <c r="AP475" i="5"/>
  <c r="AQ475" i="5" s="1"/>
  <c r="AP155" i="5"/>
  <c r="AQ155" i="5" s="1"/>
  <c r="AP492" i="5"/>
  <c r="AR492" i="5" s="1"/>
  <c r="AP498" i="5"/>
  <c r="AQ498" i="5" s="1"/>
  <c r="AP311" i="5"/>
  <c r="AQ311" i="5" s="1"/>
  <c r="AP38" i="5"/>
  <c r="BI38" i="5" s="1"/>
  <c r="AP162" i="5"/>
  <c r="AR162" i="5" s="1"/>
  <c r="AP405" i="5"/>
  <c r="AQ405" i="5" s="1"/>
  <c r="AP24" i="5"/>
  <c r="AR24" i="5" s="1"/>
  <c r="AP78" i="5"/>
  <c r="AQ78" i="5" s="1"/>
  <c r="AP362" i="5"/>
  <c r="AQ362" i="5" s="1"/>
  <c r="AP169" i="5"/>
  <c r="BI169" i="5" s="1"/>
  <c r="AP381" i="5"/>
  <c r="BI381" i="5" s="1"/>
  <c r="AP296" i="5"/>
  <c r="AQ296" i="5" s="1"/>
  <c r="AP168" i="5"/>
  <c r="AQ168" i="5" s="1"/>
  <c r="AP145" i="5"/>
  <c r="BI145" i="5" s="1"/>
  <c r="AP196" i="5"/>
  <c r="BI196" i="5" s="1"/>
  <c r="AP402" i="5"/>
  <c r="AR402" i="5" s="1"/>
  <c r="AP39" i="5"/>
  <c r="AR39" i="5" s="1"/>
  <c r="AP218" i="5"/>
  <c r="AQ218" i="5" s="1"/>
  <c r="AP335" i="5"/>
  <c r="AQ335" i="5" s="1"/>
  <c r="AP206" i="5"/>
  <c r="BI206" i="5" s="1"/>
  <c r="AP299" i="5"/>
  <c r="AR299" i="5" s="1"/>
  <c r="AP200" i="5"/>
  <c r="AR200" i="5" s="1"/>
  <c r="AP315" i="5"/>
  <c r="AR315" i="5" s="1"/>
  <c r="AP359" i="5"/>
  <c r="AR359" i="5" s="1"/>
  <c r="AP437" i="5"/>
  <c r="AQ437" i="5" s="1"/>
  <c r="AP179" i="5"/>
  <c r="AR179" i="5" s="1"/>
  <c r="AP448" i="5"/>
  <c r="AQ448" i="5" s="1"/>
  <c r="AP185" i="5"/>
  <c r="BI185" i="5" s="1"/>
  <c r="AP333" i="5"/>
  <c r="BI333" i="5" s="1"/>
  <c r="AP240" i="5"/>
  <c r="BI240" i="5" s="1"/>
  <c r="AP554" i="5"/>
  <c r="AR554" i="5" s="1"/>
  <c r="AP313" i="5"/>
  <c r="BI313" i="5" s="1"/>
  <c r="AP58" i="5"/>
  <c r="AQ58" i="5" s="1"/>
  <c r="AP247" i="5"/>
  <c r="AQ247" i="5" s="1"/>
  <c r="AP459" i="5"/>
  <c r="AQ459" i="5" s="1"/>
  <c r="AP458" i="5"/>
  <c r="AQ458" i="5" s="1"/>
  <c r="AP527" i="5"/>
  <c r="AR527" i="5" s="1"/>
  <c r="AP32" i="5"/>
  <c r="AQ32" i="5" s="1"/>
  <c r="AP62" i="5"/>
  <c r="AR62" i="5" s="1"/>
  <c r="AP265" i="5"/>
  <c r="AQ265" i="5" s="1"/>
  <c r="AP93" i="5"/>
  <c r="AR93" i="5" s="1"/>
  <c r="AP488" i="5"/>
  <c r="AR488" i="5" s="1"/>
  <c r="AP425" i="5"/>
  <c r="BI425" i="5" s="1"/>
  <c r="AP30" i="5"/>
  <c r="BI30" i="5" s="1"/>
  <c r="AP118" i="5"/>
  <c r="BI118" i="5" s="1"/>
  <c r="AP163" i="5"/>
  <c r="AR163" i="5" s="1"/>
  <c r="AP85" i="5"/>
  <c r="AQ85" i="5" s="1"/>
  <c r="AP544" i="5"/>
  <c r="AR544" i="5" s="1"/>
  <c r="AP532" i="5"/>
  <c r="AQ532" i="5" s="1"/>
  <c r="AP460" i="5"/>
  <c r="AQ460" i="5" s="1"/>
  <c r="AP371" i="5"/>
  <c r="AQ371" i="5" s="1"/>
  <c r="AP136" i="5"/>
  <c r="AR136" i="5" s="1"/>
  <c r="AP342" i="5"/>
  <c r="AQ342" i="5" s="1"/>
  <c r="Y57" i="4"/>
  <c r="AR57" i="4" s="1"/>
  <c r="X130" i="4"/>
  <c r="AJ130" i="4" s="1"/>
  <c r="Y130" i="4"/>
  <c r="AR130" i="4" s="1"/>
  <c r="X87" i="4"/>
  <c r="AJ87" i="4" s="1"/>
  <c r="X98" i="4"/>
  <c r="AJ98" i="4" s="1"/>
  <c r="Y98" i="4"/>
  <c r="AR98" i="4" s="1"/>
  <c r="Y65" i="4"/>
  <c r="AR65" i="4" s="1"/>
  <c r="X103" i="4"/>
  <c r="AJ103" i="4" s="1"/>
  <c r="X92" i="4"/>
  <c r="AJ92" i="4" s="1"/>
  <c r="Y92" i="4"/>
  <c r="AR92" i="4" s="1"/>
  <c r="X133" i="4"/>
  <c r="AJ133" i="4" s="1"/>
  <c r="Y133" i="4"/>
  <c r="AR133" i="4" s="1"/>
  <c r="X38" i="4"/>
  <c r="AJ38" i="4" s="1"/>
  <c r="X124" i="4"/>
  <c r="AJ124" i="4" s="1"/>
  <c r="Y124" i="4"/>
  <c r="AR124" i="4" s="1"/>
  <c r="Y58" i="4"/>
  <c r="AR58" i="4" s="1"/>
  <c r="X125" i="4"/>
  <c r="AJ125" i="4" s="1"/>
  <c r="Y125" i="4"/>
  <c r="AR125" i="4" s="1"/>
  <c r="X105" i="4"/>
  <c r="AJ105" i="4" s="1"/>
  <c r="Y105" i="4"/>
  <c r="AR105" i="4" s="1"/>
  <c r="X154" i="4"/>
  <c r="AJ154" i="4" s="1"/>
  <c r="Y154" i="4"/>
  <c r="AR154" i="4" s="1"/>
  <c r="X93" i="4"/>
  <c r="AJ93" i="4" s="1"/>
  <c r="Y93" i="4"/>
  <c r="AR93" i="4" s="1"/>
  <c r="X126" i="4"/>
  <c r="AJ126" i="4" s="1"/>
  <c r="Y126" i="4"/>
  <c r="AR126" i="4" s="1"/>
  <c r="X116" i="4"/>
  <c r="AJ116" i="4" s="1"/>
  <c r="Y116" i="4"/>
  <c r="AR116" i="4" s="1"/>
  <c r="X148" i="4"/>
  <c r="AJ148" i="4" s="1"/>
  <c r="Y148" i="4"/>
  <c r="AR148" i="4" s="1"/>
  <c r="X128" i="4"/>
  <c r="AJ128" i="4" s="1"/>
  <c r="Y128" i="4"/>
  <c r="AR128" i="4" s="1"/>
  <c r="X88" i="4"/>
  <c r="AJ88" i="4" s="1"/>
  <c r="X104" i="4"/>
  <c r="AJ104" i="4" s="1"/>
  <c r="X139" i="4"/>
  <c r="AJ139" i="4" s="1"/>
  <c r="X109" i="4"/>
  <c r="AJ109" i="4" s="1"/>
  <c r="Y109" i="4"/>
  <c r="AR109" i="4" s="1"/>
  <c r="AP301" i="5"/>
  <c r="AR301" i="5" s="1"/>
  <c r="AP556" i="5"/>
  <c r="AR556" i="5" s="1"/>
  <c r="AP90" i="5"/>
  <c r="AQ90" i="5" s="1"/>
  <c r="AP195" i="5"/>
  <c r="BI195" i="5" s="1"/>
  <c r="AP72" i="5"/>
  <c r="AQ72" i="5" s="1"/>
  <c r="AP501" i="5"/>
  <c r="AQ501" i="5" s="1"/>
  <c r="AP199" i="5"/>
  <c r="BI199" i="5" s="1"/>
  <c r="AP251" i="5"/>
  <c r="AR251" i="5" s="1"/>
  <c r="AP455" i="5"/>
  <c r="AQ455" i="5" s="1"/>
  <c r="AP249" i="5"/>
  <c r="AQ249" i="5" s="1"/>
  <c r="AP41" i="5"/>
  <c r="BI41" i="5" s="1"/>
  <c r="AP307" i="5"/>
  <c r="BI307" i="5" s="1"/>
  <c r="AP350" i="5"/>
  <c r="AQ350" i="5" s="1"/>
  <c r="AP66" i="5"/>
  <c r="BI66" i="5" s="1"/>
  <c r="AP312" i="5"/>
  <c r="AQ312" i="5" s="1"/>
  <c r="AP290" i="5"/>
  <c r="AR290" i="5" s="1"/>
  <c r="AP326" i="5"/>
  <c r="AR326" i="5" s="1"/>
  <c r="AP156" i="5"/>
  <c r="BI156" i="5" s="1"/>
  <c r="AP318" i="5"/>
  <c r="AR318" i="5" s="1"/>
  <c r="AP116" i="5"/>
  <c r="AR116" i="5" s="1"/>
  <c r="AP278" i="5"/>
  <c r="BI278" i="5" s="1"/>
  <c r="AP210" i="5"/>
  <c r="AQ210" i="5" s="1"/>
  <c r="AP551" i="5"/>
  <c r="AR551" i="5" s="1"/>
  <c r="AP288" i="5"/>
  <c r="AQ288" i="5" s="1"/>
  <c r="AP539" i="5"/>
  <c r="AR539" i="5" s="1"/>
  <c r="AP454" i="5"/>
  <c r="AQ454" i="5" s="1"/>
  <c r="AP164" i="5"/>
  <c r="AR164" i="5" s="1"/>
  <c r="AP167" i="5"/>
  <c r="AQ167" i="5" s="1"/>
  <c r="AP232" i="5"/>
  <c r="AQ232" i="5" s="1"/>
  <c r="X142" i="4"/>
  <c r="AJ142" i="4" s="1"/>
  <c r="Y142" i="4"/>
  <c r="AR142" i="4" s="1"/>
  <c r="Y55" i="4"/>
  <c r="AR55" i="4" s="1"/>
  <c r="X129" i="4"/>
  <c r="AJ129" i="4" s="1"/>
  <c r="Y129" i="4"/>
  <c r="AR129" i="4" s="1"/>
  <c r="X146" i="4"/>
  <c r="AJ146" i="4" s="1"/>
  <c r="X157" i="4"/>
  <c r="AJ157" i="4" s="1"/>
  <c r="X75" i="4"/>
  <c r="AJ75" i="4" s="1"/>
  <c r="Y75" i="4"/>
  <c r="AR75" i="4" s="1"/>
  <c r="X110" i="4"/>
  <c r="AJ110" i="4" s="1"/>
  <c r="Y110" i="4"/>
  <c r="AR110" i="4" s="1"/>
  <c r="X123" i="4"/>
  <c r="AJ123" i="4" s="1"/>
  <c r="Y123" i="4"/>
  <c r="AR123" i="4" s="1"/>
  <c r="Y60" i="4"/>
  <c r="AR60" i="4" s="1"/>
  <c r="X153" i="4"/>
  <c r="AJ153" i="4" s="1"/>
  <c r="Y54" i="4"/>
  <c r="AR54" i="4" s="1"/>
  <c r="X144" i="4"/>
  <c r="AJ144" i="4" s="1"/>
  <c r="Y144" i="4"/>
  <c r="AR144" i="4" s="1"/>
  <c r="X47" i="4"/>
  <c r="AJ47" i="4" s="1"/>
  <c r="X102" i="4"/>
  <c r="AJ102" i="4" s="1"/>
  <c r="Y102" i="4"/>
  <c r="AR102" i="4" s="1"/>
  <c r="X96" i="4"/>
  <c r="AJ96" i="4" s="1"/>
  <c r="Y96" i="4"/>
  <c r="AR96" i="4" s="1"/>
  <c r="X113" i="4"/>
  <c r="AJ113" i="4" s="1"/>
  <c r="Y113" i="4"/>
  <c r="AR113" i="4" s="1"/>
  <c r="X85" i="4"/>
  <c r="AJ85" i="4" s="1"/>
  <c r="Y85" i="4"/>
  <c r="AR85" i="4" s="1"/>
  <c r="X67" i="4"/>
  <c r="AJ67" i="4" s="1"/>
  <c r="Y67" i="4"/>
  <c r="AR67" i="4" s="1"/>
  <c r="X143" i="4"/>
  <c r="AJ143" i="4" s="1"/>
  <c r="Y143" i="4"/>
  <c r="AR143" i="4" s="1"/>
  <c r="X117" i="4"/>
  <c r="AJ117" i="4" s="1"/>
  <c r="Y117" i="4"/>
  <c r="AR117" i="4" s="1"/>
  <c r="X147" i="4"/>
  <c r="AJ147" i="4" s="1"/>
  <c r="X137" i="4"/>
  <c r="AJ137" i="4" s="1"/>
  <c r="Y137" i="4"/>
  <c r="AR137" i="4" s="1"/>
  <c r="X74" i="4"/>
  <c r="AJ74" i="4" s="1"/>
  <c r="Y74" i="4"/>
  <c r="AR74" i="4" s="1"/>
  <c r="X135" i="4"/>
  <c r="AJ135" i="4" s="1"/>
  <c r="Y135" i="4"/>
  <c r="AR135" i="4" s="1"/>
  <c r="X151" i="4"/>
  <c r="AJ151" i="4" s="1"/>
  <c r="Y151" i="4"/>
  <c r="AR151" i="4" s="1"/>
  <c r="X79" i="4"/>
  <c r="AJ79" i="4" s="1"/>
  <c r="Y79" i="4"/>
  <c r="AR79" i="4" s="1"/>
  <c r="AP427" i="5"/>
  <c r="AQ427" i="5" s="1"/>
  <c r="AP404" i="5"/>
  <c r="AR404" i="5" s="1"/>
  <c r="AP447" i="5"/>
  <c r="AQ447" i="5" s="1"/>
  <c r="AP187" i="5"/>
  <c r="AR187" i="5" s="1"/>
  <c r="AP166" i="5"/>
  <c r="AQ166" i="5" s="1"/>
  <c r="AP177" i="5"/>
  <c r="AQ177" i="5" s="1"/>
  <c r="AP12" i="5"/>
  <c r="AR12" i="5" s="1"/>
  <c r="AP97" i="5"/>
  <c r="AR97" i="5" s="1"/>
  <c r="AP37" i="5"/>
  <c r="AQ37" i="5" s="1"/>
  <c r="AP327" i="5"/>
  <c r="AQ327" i="5" s="1"/>
  <c r="AP276" i="5"/>
  <c r="AQ276" i="5" s="1"/>
  <c r="AP422" i="5"/>
  <c r="BI422" i="5" s="1"/>
  <c r="AP349" i="5"/>
  <c r="AR349" i="5" s="1"/>
  <c r="AP120" i="5"/>
  <c r="AR120" i="5" s="1"/>
  <c r="AP102" i="5"/>
  <c r="BI102" i="5" s="1"/>
  <c r="AP337" i="5"/>
  <c r="BI337" i="5" s="1"/>
  <c r="AP316" i="5"/>
  <c r="BI316" i="5" s="1"/>
  <c r="AP115" i="5"/>
  <c r="AR115" i="5" s="1"/>
  <c r="AP22" i="5"/>
  <c r="BI22" i="5" s="1"/>
  <c r="AP328" i="5"/>
  <c r="AQ328" i="5" s="1"/>
  <c r="AP396" i="5"/>
  <c r="AQ396" i="5" s="1"/>
  <c r="AP377" i="5"/>
  <c r="AQ377" i="5" s="1"/>
  <c r="AP280" i="5"/>
  <c r="AQ280" i="5" s="1"/>
  <c r="AP494" i="5"/>
  <c r="BI494" i="5" s="1"/>
  <c r="AP61" i="5"/>
  <c r="BI61" i="5" s="1"/>
  <c r="AP79" i="5"/>
  <c r="AR79" i="5" s="1"/>
  <c r="AP188" i="5"/>
  <c r="AR188" i="5" s="1"/>
  <c r="AP107" i="5"/>
  <c r="BI107" i="5" s="1"/>
  <c r="AP392" i="5"/>
  <c r="BI392" i="5" s="1"/>
  <c r="AP125" i="5"/>
  <c r="AQ125" i="5" s="1"/>
  <c r="AP441" i="5"/>
  <c r="AQ441" i="5" s="1"/>
  <c r="AP45" i="5"/>
  <c r="BI45" i="5" s="1"/>
  <c r="AP505" i="5"/>
  <c r="AR505" i="5" s="1"/>
  <c r="AP76" i="5"/>
  <c r="AR76" i="5" s="1"/>
  <c r="AP308" i="5"/>
  <c r="AR308" i="5" s="1"/>
  <c r="AP142" i="5"/>
  <c r="AR142" i="5" s="1"/>
  <c r="AP347" i="5"/>
  <c r="AQ347" i="5" s="1"/>
  <c r="AP258" i="5"/>
  <c r="AR258" i="5" s="1"/>
  <c r="AP523" i="5"/>
  <c r="AR523" i="5" s="1"/>
  <c r="AP94" i="5"/>
  <c r="BI94" i="5" s="1"/>
  <c r="AP300" i="5"/>
  <c r="AQ300" i="5" s="1"/>
  <c r="AP113" i="5"/>
  <c r="BI113" i="5" s="1"/>
  <c r="AP264" i="5"/>
  <c r="AR264" i="5" s="1"/>
  <c r="AP225" i="5"/>
  <c r="AR225" i="5" s="1"/>
  <c r="AP531" i="5"/>
  <c r="AQ531" i="5" s="1"/>
  <c r="AP514" i="5"/>
  <c r="AR514" i="5" s="1"/>
  <c r="AP25" i="5"/>
  <c r="AQ25" i="5" s="1"/>
  <c r="AP530" i="5"/>
  <c r="BI530" i="5" s="1"/>
  <c r="AP329" i="5"/>
  <c r="AQ329" i="5" s="1"/>
  <c r="AP7" i="5"/>
  <c r="AR7" i="5" s="1"/>
  <c r="AP383" i="5"/>
  <c r="BI383" i="5" s="1"/>
  <c r="AP322" i="5"/>
  <c r="AR322" i="5" s="1"/>
  <c r="AP410" i="5"/>
  <c r="AR410" i="5" s="1"/>
  <c r="AP47" i="5"/>
  <c r="BI47" i="5" s="1"/>
  <c r="AP409" i="5"/>
  <c r="BI409" i="5" s="1"/>
  <c r="AP457" i="5"/>
  <c r="AR457" i="5" s="1"/>
  <c r="AP204" i="5"/>
  <c r="BI204" i="5" s="1"/>
  <c r="AP369" i="5"/>
  <c r="BI369" i="5" s="1"/>
  <c r="AP294" i="5"/>
  <c r="AQ294" i="5" s="1"/>
  <c r="AP91" i="5"/>
  <c r="AR91" i="5" s="1"/>
  <c r="AP384" i="5"/>
  <c r="BI384" i="5" s="1"/>
  <c r="AP211" i="5"/>
  <c r="BI211" i="5" s="1"/>
  <c r="AP348" i="5"/>
  <c r="AR348" i="5" s="1"/>
  <c r="AP547" i="5"/>
  <c r="BI547" i="5" s="1"/>
  <c r="AP46" i="5"/>
  <c r="BI46" i="5" s="1"/>
  <c r="AP242" i="5"/>
  <c r="BI242" i="5" s="1"/>
  <c r="AP295" i="5"/>
  <c r="AQ295" i="5" s="1"/>
  <c r="AP430" i="5"/>
  <c r="BI430" i="5" s="1"/>
  <c r="AP366" i="5"/>
  <c r="AQ366" i="5" s="1"/>
  <c r="AP205" i="5"/>
  <c r="AR205" i="5" s="1"/>
  <c r="AP360" i="5"/>
  <c r="AR360" i="5" s="1"/>
  <c r="AP56" i="5"/>
  <c r="AR56" i="5" s="1"/>
  <c r="AP71" i="5"/>
  <c r="AR71" i="5" s="1"/>
  <c r="AP324" i="5"/>
  <c r="AR324" i="5" s="1"/>
  <c r="AP340" i="5"/>
  <c r="AR340" i="5" s="1"/>
  <c r="AP248" i="5"/>
  <c r="AR248" i="5" s="1"/>
  <c r="AP144" i="5"/>
  <c r="AR144" i="5" s="1"/>
  <c r="AP552" i="5"/>
  <c r="AR552" i="5" s="1"/>
  <c r="AP413" i="5"/>
  <c r="AR413" i="5" s="1"/>
  <c r="AP165" i="5"/>
  <c r="BI165" i="5" s="1"/>
  <c r="AP484" i="5"/>
  <c r="AQ484" i="5" s="1"/>
  <c r="AP75" i="5"/>
  <c r="AQ75" i="5" s="1"/>
  <c r="AP271" i="5"/>
  <c r="BI271" i="5" s="1"/>
  <c r="AP353" i="5"/>
  <c r="AQ353" i="5" s="1"/>
  <c r="AP262" i="5"/>
  <c r="BI262" i="5" s="1"/>
  <c r="AP491" i="5"/>
  <c r="BI491" i="5" s="1"/>
  <c r="AP60" i="5"/>
  <c r="AR60" i="5" s="1"/>
  <c r="AP390" i="5"/>
  <c r="AR390" i="5" s="1"/>
  <c r="AP553" i="5"/>
  <c r="BI553" i="5" s="1"/>
  <c r="AP28" i="5"/>
  <c r="AQ28" i="5" s="1"/>
  <c r="AP320" i="5"/>
  <c r="BI320" i="5" s="1"/>
  <c r="AP503" i="5"/>
  <c r="AR503" i="5" s="1"/>
  <c r="AP161" i="5"/>
  <c r="BI161" i="5" s="1"/>
  <c r="AP429" i="5"/>
  <c r="BI429" i="5" s="1"/>
  <c r="AP558" i="5"/>
  <c r="BI558" i="5" s="1"/>
  <c r="AP314" i="5"/>
  <c r="AQ314" i="5" s="1"/>
  <c r="AP334" i="5"/>
  <c r="BI334" i="5" s="1"/>
  <c r="AP540" i="5"/>
  <c r="AR540" i="5" s="1"/>
  <c r="AP123" i="5"/>
  <c r="BI123" i="5" s="1"/>
  <c r="AP325" i="5"/>
  <c r="AQ325" i="5" s="1"/>
  <c r="AP555" i="5"/>
  <c r="AR555" i="5" s="1"/>
  <c r="AP401" i="5"/>
  <c r="BI401" i="5" s="1"/>
  <c r="AP542" i="5"/>
  <c r="AR542" i="5" s="1"/>
  <c r="AP255" i="5"/>
  <c r="AQ255" i="5" s="1"/>
  <c r="AP89" i="5"/>
  <c r="AR89" i="5" s="1"/>
  <c r="AP55" i="5"/>
  <c r="BI55" i="5" s="1"/>
  <c r="AP495" i="5"/>
  <c r="AR495" i="5" s="1"/>
  <c r="AP513" i="5"/>
  <c r="BI513" i="5" s="1"/>
  <c r="BI124" i="5"/>
  <c r="AQ124" i="5"/>
  <c r="AR124" i="5"/>
  <c r="AN411" i="5"/>
  <c r="AO411" i="5"/>
  <c r="AO151" i="5"/>
  <c r="AN151" i="5"/>
  <c r="AO68" i="5"/>
  <c r="AN68" i="5"/>
  <c r="AO252" i="5"/>
  <c r="AN252" i="5"/>
  <c r="AO77" i="5"/>
  <c r="AN77" i="5"/>
  <c r="AO266" i="5"/>
  <c r="AN266" i="5"/>
  <c r="AO33" i="5"/>
  <c r="AN33" i="5"/>
  <c r="AN148" i="5"/>
  <c r="AO148" i="5"/>
  <c r="AO84" i="5"/>
  <c r="AN84" i="5"/>
  <c r="AO106" i="5"/>
  <c r="AN106" i="5"/>
  <c r="AN557" i="5"/>
  <c r="AO557" i="5"/>
  <c r="AN240" i="5"/>
  <c r="AO240" i="5"/>
  <c r="AN446" i="5"/>
  <c r="AO446" i="5"/>
  <c r="AN183" i="5"/>
  <c r="AO183" i="5"/>
  <c r="AO192" i="5"/>
  <c r="AN192" i="5"/>
  <c r="AO209" i="5"/>
  <c r="AN209" i="5"/>
  <c r="AN394" i="5"/>
  <c r="AO394" i="5"/>
  <c r="AO541" i="5"/>
  <c r="AN541" i="5"/>
  <c r="AN504" i="5"/>
  <c r="AO504" i="5"/>
  <c r="AN13" i="5"/>
  <c r="AO13" i="5"/>
  <c r="AO416" i="5"/>
  <c r="AN416" i="5"/>
  <c r="AN54" i="5"/>
  <c r="AO54" i="5"/>
  <c r="AN159" i="5"/>
  <c r="AO159" i="5"/>
  <c r="AO154" i="5"/>
  <c r="AN154" i="5"/>
  <c r="AO524" i="5"/>
  <c r="AN524" i="5"/>
  <c r="AN260" i="5"/>
  <c r="AO260" i="5"/>
  <c r="AO444" i="5"/>
  <c r="AN444" i="5"/>
  <c r="AN372" i="5"/>
  <c r="AO372" i="5"/>
  <c r="AN529" i="5"/>
  <c r="AO529" i="5"/>
  <c r="AN284" i="5"/>
  <c r="AO284" i="5"/>
  <c r="AO533" i="5"/>
  <c r="AN533" i="5"/>
  <c r="AO219" i="5"/>
  <c r="AN219" i="5"/>
  <c r="AO462" i="5"/>
  <c r="AN462" i="5"/>
  <c r="AN176" i="5"/>
  <c r="AO176" i="5"/>
  <c r="AO267" i="5"/>
  <c r="AN267" i="5"/>
  <c r="AN419" i="5"/>
  <c r="AO419" i="5"/>
  <c r="AO12" i="5"/>
  <c r="AN12" i="5"/>
  <c r="AO101" i="5"/>
  <c r="AN101" i="5"/>
  <c r="AO386" i="5"/>
  <c r="AN386" i="5"/>
  <c r="AO368" i="5"/>
  <c r="AN368" i="5"/>
  <c r="AO186" i="5"/>
  <c r="AN186" i="5"/>
  <c r="AO363" i="5"/>
  <c r="AN363" i="5"/>
  <c r="AO65" i="5"/>
  <c r="AN65" i="5"/>
  <c r="AO316" i="5"/>
  <c r="AN316" i="5"/>
  <c r="AO302" i="5"/>
  <c r="AN302" i="5"/>
  <c r="AO336" i="5"/>
  <c r="AN336" i="5"/>
  <c r="AN184" i="5"/>
  <c r="AO184" i="5"/>
  <c r="AN485" i="5"/>
  <c r="AO485" i="5"/>
  <c r="AO73" i="5"/>
  <c r="AN73" i="5"/>
  <c r="AO248" i="5"/>
  <c r="AN248" i="5"/>
  <c r="AH16" i="4"/>
  <c r="AE16" i="4"/>
  <c r="Z16" i="4"/>
  <c r="X16" i="4" s="1"/>
  <c r="AJ16" i="4" s="1"/>
  <c r="AH9" i="4"/>
  <c r="Z9" i="4"/>
  <c r="X9" i="4" s="1"/>
  <c r="AJ9" i="4" s="1"/>
  <c r="AE9" i="4"/>
  <c r="AH80" i="4"/>
  <c r="AE80" i="4"/>
  <c r="Z80" i="4"/>
  <c r="AA80" i="4"/>
  <c r="AH138" i="4"/>
  <c r="AE138" i="4"/>
  <c r="Z138" i="4"/>
  <c r="AA138" i="4"/>
  <c r="AH10" i="4"/>
  <c r="AE10" i="4"/>
  <c r="Z10" i="4"/>
  <c r="X10" i="4" s="1"/>
  <c r="AJ10" i="4" s="1"/>
  <c r="AH35" i="4"/>
  <c r="AE35" i="4"/>
  <c r="Z35" i="4"/>
  <c r="X35" i="4" s="1"/>
  <c r="AH97" i="4"/>
  <c r="AE97" i="4"/>
  <c r="AE27" i="4"/>
  <c r="AH27" i="4"/>
  <c r="Z27" i="4"/>
  <c r="X27" i="4" s="1"/>
  <c r="AH47" i="4"/>
  <c r="AA47" i="4"/>
  <c r="AE47" i="4"/>
  <c r="Z47" i="4"/>
  <c r="AE78" i="4"/>
  <c r="AH78" i="4"/>
  <c r="AH82" i="4"/>
  <c r="AE82" i="4"/>
  <c r="AE63" i="4"/>
  <c r="AH63" i="4"/>
  <c r="AH25" i="4"/>
  <c r="AE25" i="4"/>
  <c r="Z25" i="4"/>
  <c r="X25" i="4" s="1"/>
  <c r="AJ25" i="4" s="1"/>
  <c r="AE62" i="4"/>
  <c r="AH62" i="4"/>
  <c r="AE96" i="4"/>
  <c r="AH96" i="4"/>
  <c r="AH76" i="4"/>
  <c r="AE76" i="4"/>
  <c r="AH87" i="4"/>
  <c r="AE87" i="4"/>
  <c r="AA87" i="4"/>
  <c r="Z87" i="4"/>
  <c r="AE89" i="4"/>
  <c r="AH89" i="4"/>
  <c r="AE29" i="4"/>
  <c r="AH29" i="4"/>
  <c r="Z29" i="4"/>
  <c r="X29" i="4" s="1"/>
  <c r="AH65" i="4"/>
  <c r="AE65" i="4"/>
  <c r="BI343" i="5"/>
  <c r="AQ343" i="5"/>
  <c r="AR343" i="5"/>
  <c r="AP68" i="5"/>
  <c r="AP159" i="5"/>
  <c r="AP446" i="5"/>
  <c r="AP411" i="5"/>
  <c r="AP176" i="5"/>
  <c r="AP529" i="5"/>
  <c r="AP444" i="5"/>
  <c r="AP154" i="5"/>
  <c r="BI31" i="5"/>
  <c r="AQ31" i="5"/>
  <c r="AR31" i="5"/>
  <c r="AP260" i="5"/>
  <c r="AP394" i="5"/>
  <c r="AP252" i="5"/>
  <c r="AE120" i="4"/>
  <c r="AA120" i="4"/>
  <c r="Z120" i="4"/>
  <c r="AH120" i="4"/>
  <c r="AK9" i="5"/>
  <c r="AL9" i="5"/>
  <c r="AI9" i="5"/>
  <c r="AH9" i="5"/>
  <c r="AE142" i="4"/>
  <c r="AH142" i="4"/>
  <c r="AE51" i="4"/>
  <c r="AH51" i="4"/>
  <c r="Z51" i="4"/>
  <c r="X51" i="4" s="1"/>
  <c r="AE118" i="4"/>
  <c r="AH118" i="4"/>
  <c r="AE114" i="4"/>
  <c r="AH114" i="4"/>
  <c r="AE69" i="4"/>
  <c r="AH69" i="4"/>
  <c r="AH104" i="4"/>
  <c r="Z104" i="4"/>
  <c r="AA104" i="4"/>
  <c r="AE104" i="4"/>
  <c r="AH139" i="4"/>
  <c r="AA139" i="4"/>
  <c r="Z139" i="4"/>
  <c r="AE139" i="4"/>
  <c r="AH100" i="4"/>
  <c r="AE100" i="4"/>
  <c r="AA100" i="4"/>
  <c r="Z100" i="4"/>
  <c r="P44" i="5"/>
  <c r="P46" i="5"/>
  <c r="P297" i="5"/>
  <c r="P541" i="5"/>
  <c r="P28" i="5"/>
  <c r="P348" i="5"/>
  <c r="P524" i="5"/>
  <c r="P29" i="5"/>
  <c r="P19" i="5"/>
  <c r="P256" i="5"/>
  <c r="P85" i="5"/>
  <c r="P282" i="5"/>
  <c r="P137" i="5"/>
  <c r="P468" i="5"/>
  <c r="P281" i="5"/>
  <c r="P76" i="5"/>
  <c r="P431" i="5"/>
  <c r="P405" i="5"/>
  <c r="P97" i="5"/>
  <c r="P21" i="5"/>
  <c r="P542" i="5"/>
  <c r="P37" i="5"/>
  <c r="P410" i="5"/>
  <c r="P70" i="5"/>
  <c r="P341" i="5"/>
  <c r="P77" i="5"/>
  <c r="P326" i="5"/>
  <c r="P258" i="5"/>
  <c r="P328" i="5"/>
  <c r="P560" i="5"/>
  <c r="P49" i="5"/>
  <c r="P166" i="5"/>
  <c r="P144" i="5"/>
  <c r="P62" i="5"/>
  <c r="P358" i="5"/>
  <c r="P210" i="5"/>
  <c r="P415" i="5"/>
  <c r="P559" i="5"/>
  <c r="P81" i="5"/>
  <c r="P522" i="5"/>
  <c r="P181" i="5"/>
  <c r="P514" i="5"/>
  <c r="P419" i="5"/>
  <c r="P558" i="5"/>
  <c r="P110" i="5"/>
  <c r="P272" i="5"/>
  <c r="P225" i="5"/>
  <c r="P507" i="5"/>
  <c r="P88" i="5"/>
  <c r="P466" i="5"/>
  <c r="P260" i="5"/>
  <c r="P437" i="5"/>
  <c r="P421" i="5"/>
  <c r="P299" i="5"/>
  <c r="P430" i="5"/>
  <c r="P309" i="5"/>
  <c r="P209" i="5"/>
  <c r="P242" i="5"/>
  <c r="P377" i="5"/>
  <c r="P187" i="5"/>
  <c r="P500" i="5"/>
  <c r="P119" i="5"/>
  <c r="P213" i="5"/>
  <c r="P51" i="5"/>
  <c r="P8" i="5"/>
  <c r="P34" i="5"/>
  <c r="P38" i="5"/>
  <c r="P372" i="5"/>
  <c r="P473" i="5"/>
  <c r="P180" i="5"/>
  <c r="P448" i="5"/>
  <c r="P316" i="5"/>
  <c r="P353" i="5"/>
  <c r="P504" i="5"/>
  <c r="P445" i="5"/>
  <c r="P234" i="5"/>
  <c r="P164" i="5"/>
  <c r="P373" i="5"/>
  <c r="P90" i="5"/>
  <c r="P83" i="5"/>
  <c r="P254" i="5"/>
  <c r="P149" i="5"/>
  <c r="P141" i="5"/>
  <c r="P549" i="5"/>
  <c r="P277" i="5"/>
  <c r="P27" i="5"/>
  <c r="P286" i="5"/>
  <c r="P551" i="5"/>
  <c r="P87" i="5"/>
  <c r="P115" i="5"/>
  <c r="P362" i="5"/>
  <c r="P352" i="5"/>
  <c r="P554" i="5"/>
  <c r="P369" i="5"/>
  <c r="P475" i="5"/>
  <c r="P236" i="5"/>
  <c r="P370" i="5"/>
  <c r="P350" i="5"/>
  <c r="P45" i="5"/>
  <c r="P150" i="5"/>
  <c r="P324" i="5"/>
  <c r="P447" i="5"/>
  <c r="P485" i="5"/>
  <c r="P331" i="5"/>
  <c r="P458" i="5"/>
  <c r="P521" i="5"/>
  <c r="P125" i="5"/>
  <c r="P393" i="5"/>
  <c r="P329" i="5"/>
  <c r="P537" i="5"/>
  <c r="P443" i="5"/>
  <c r="P93" i="5"/>
  <c r="P245" i="5"/>
  <c r="P123" i="5"/>
  <c r="P265" i="5"/>
  <c r="P279" i="5"/>
  <c r="P402" i="5"/>
  <c r="P64" i="5"/>
  <c r="P160" i="5"/>
  <c r="P41" i="5"/>
  <c r="P301" i="5"/>
  <c r="P42" i="5"/>
  <c r="P292" i="5"/>
  <c r="P424" i="5"/>
  <c r="P195" i="5"/>
  <c r="P462" i="5"/>
  <c r="P98" i="5"/>
  <c r="P474" i="5"/>
  <c r="P243" i="5"/>
  <c r="P442" i="5"/>
  <c r="P531" i="5"/>
  <c r="P207" i="5"/>
  <c r="P162" i="5"/>
  <c r="P69" i="5"/>
  <c r="P406" i="5"/>
  <c r="P381" i="5"/>
  <c r="P153" i="5"/>
  <c r="P300" i="5"/>
  <c r="P36" i="5"/>
  <c r="P322" i="5"/>
  <c r="P349" i="5"/>
  <c r="P319" i="5"/>
  <c r="P31" i="5"/>
  <c r="P191" i="5"/>
  <c r="P429" i="5"/>
  <c r="P13" i="5"/>
  <c r="P513" i="5"/>
  <c r="P11" i="5"/>
  <c r="P124" i="5"/>
  <c r="P364" i="5"/>
  <c r="P332" i="5"/>
  <c r="P220" i="5"/>
  <c r="P74" i="5"/>
  <c r="P109" i="5"/>
  <c r="P214" i="5"/>
  <c r="P453" i="5"/>
  <c r="P339" i="5"/>
  <c r="P416" i="5"/>
  <c r="P440" i="5"/>
  <c r="P203" i="5"/>
  <c r="P482" i="5"/>
  <c r="P438" i="5"/>
  <c r="P134" i="5"/>
  <c r="P128" i="5"/>
  <c r="P171" i="5"/>
  <c r="P91" i="5"/>
  <c r="P515" i="5"/>
  <c r="P487" i="5"/>
  <c r="P399" i="5"/>
  <c r="P56" i="5"/>
  <c r="P132" i="5"/>
  <c r="P488" i="5"/>
  <c r="P417" i="5"/>
  <c r="P441" i="5"/>
  <c r="P401" i="5"/>
  <c r="P486" i="5"/>
  <c r="P185" i="5"/>
  <c r="P451" i="5"/>
  <c r="P104" i="5"/>
  <c r="P544" i="5"/>
  <c r="P457" i="5"/>
  <c r="P384" i="5"/>
  <c r="P217" i="5"/>
  <c r="P289" i="5"/>
  <c r="P346" i="5"/>
  <c r="P528" i="5"/>
  <c r="P320" i="5"/>
  <c r="P120" i="5"/>
  <c r="P262" i="5"/>
  <c r="P175" i="5"/>
  <c r="P403" i="5"/>
  <c r="P95" i="5"/>
  <c r="P112" i="5"/>
  <c r="P276" i="5"/>
  <c r="P479" i="5"/>
  <c r="P287" i="5"/>
  <c r="P435" i="5"/>
  <c r="P518" i="5"/>
  <c r="P72" i="5"/>
  <c r="P271" i="5"/>
  <c r="P82" i="5"/>
  <c r="P116" i="5"/>
  <c r="P509" i="5"/>
  <c r="P450" i="5"/>
  <c r="P412" i="5"/>
  <c r="P408" i="5"/>
  <c r="P465" i="5"/>
  <c r="P333" i="5"/>
  <c r="P538" i="5"/>
  <c r="P379" i="5"/>
  <c r="P122" i="5"/>
  <c r="P432" i="5"/>
  <c r="P535" i="5"/>
  <c r="P172" i="5"/>
  <c r="P543" i="5"/>
  <c r="P425" i="5"/>
  <c r="P33" i="5"/>
  <c r="P40" i="5"/>
  <c r="P79" i="5"/>
  <c r="P47" i="5"/>
  <c r="P495" i="5"/>
  <c r="P337" i="5"/>
  <c r="P492" i="5"/>
  <c r="P545" i="5"/>
  <c r="P231" i="5"/>
  <c r="P30" i="5"/>
  <c r="P383" i="5"/>
  <c r="P253" i="5"/>
  <c r="P449" i="5"/>
  <c r="P101" i="5"/>
  <c r="P194" i="5"/>
  <c r="P65" i="5"/>
  <c r="P323" i="5"/>
  <c r="P360" i="5"/>
  <c r="P269" i="5"/>
  <c r="P539" i="5"/>
  <c r="P394" i="5"/>
  <c r="P43" i="5"/>
  <c r="P61" i="5"/>
  <c r="P378" i="5"/>
  <c r="P477" i="5"/>
  <c r="P489" i="5"/>
  <c r="P519" i="5"/>
  <c r="P295" i="5"/>
  <c r="P121" i="5"/>
  <c r="P391" i="5"/>
  <c r="P268" i="5"/>
  <c r="P68" i="5"/>
  <c r="P155" i="5"/>
  <c r="P107" i="5"/>
  <c r="P22" i="5"/>
  <c r="P314" i="5"/>
  <c r="P229" i="5"/>
  <c r="P148" i="5"/>
  <c r="P411" i="5"/>
  <c r="P67" i="5"/>
  <c r="P526" i="5"/>
  <c r="P113" i="5"/>
  <c r="P470" i="5"/>
  <c r="P452" i="5"/>
  <c r="P307" i="5"/>
  <c r="P409" i="5"/>
  <c r="P55" i="5"/>
  <c r="P343" i="5"/>
  <c r="P223" i="5"/>
  <c r="P298" i="5"/>
  <c r="P230" i="5"/>
  <c r="P303" i="5"/>
  <c r="P99" i="5"/>
  <c r="P499" i="5"/>
  <c r="P555" i="5"/>
  <c r="P275" i="5"/>
  <c r="P290" i="5"/>
  <c r="P380" i="5"/>
  <c r="P139" i="5"/>
  <c r="P512" i="5"/>
  <c r="P266" i="5"/>
  <c r="P385" i="5"/>
  <c r="P325" i="5"/>
  <c r="P156" i="5"/>
  <c r="P335" i="5"/>
  <c r="P498" i="5"/>
  <c r="P178" i="5"/>
  <c r="P264" i="5"/>
  <c r="P159" i="5"/>
  <c r="P294" i="5"/>
  <c r="P240" i="5"/>
  <c r="P151" i="5"/>
  <c r="P168" i="5"/>
  <c r="P84" i="5"/>
  <c r="P208" i="5"/>
  <c r="P53" i="5"/>
  <c r="P476" i="5"/>
  <c r="P197" i="5"/>
  <c r="P327" i="5"/>
  <c r="P100" i="5"/>
  <c r="P389" i="5"/>
  <c r="P184" i="5"/>
  <c r="P414" i="5"/>
  <c r="P505" i="5"/>
  <c r="P523" i="5"/>
  <c r="P422" i="5"/>
  <c r="P204" i="5"/>
  <c r="P483" i="5"/>
  <c r="P252" i="5"/>
  <c r="P108" i="5"/>
  <c r="P308" i="5"/>
  <c r="P388" i="5"/>
  <c r="P267" i="5"/>
  <c r="P183" i="5"/>
  <c r="P73" i="5"/>
  <c r="P130" i="5"/>
  <c r="P530" i="5"/>
  <c r="P387" i="5"/>
  <c r="P397" i="5"/>
  <c r="P427" i="5"/>
  <c r="P532" i="5"/>
  <c r="P376" i="5"/>
  <c r="P222" i="5"/>
  <c r="P25" i="5"/>
  <c r="P426" i="5"/>
  <c r="P463" i="5"/>
  <c r="P510" i="5"/>
  <c r="P288" i="5"/>
  <c r="P285" i="5"/>
  <c r="P478" i="5"/>
  <c r="P296" i="5"/>
  <c r="P497" i="5"/>
  <c r="P154" i="5"/>
  <c r="P464" i="5"/>
  <c r="P201" i="5"/>
  <c r="P105" i="5"/>
  <c r="P237" i="5"/>
  <c r="P278" i="5"/>
  <c r="P506" i="5"/>
  <c r="P433" i="5"/>
  <c r="P491" i="5"/>
  <c r="P80" i="5"/>
  <c r="P552" i="5"/>
  <c r="P351" i="5"/>
  <c r="P263" i="5"/>
  <c r="P368" i="5"/>
  <c r="P66" i="5"/>
  <c r="P480" i="5"/>
  <c r="P347" i="5"/>
  <c r="P202" i="5"/>
  <c r="P118" i="5"/>
  <c r="P374" i="5"/>
  <c r="P274" i="5"/>
  <c r="P165" i="5"/>
  <c r="P434" i="5"/>
  <c r="P199" i="5"/>
  <c r="P342" i="5"/>
  <c r="P550" i="5"/>
  <c r="P182" i="5"/>
  <c r="P547" i="5"/>
  <c r="P255" i="5"/>
  <c r="P436" i="5"/>
  <c r="P366" i="5"/>
  <c r="P291" i="5"/>
  <c r="P306" i="5"/>
  <c r="P158" i="5"/>
  <c r="P190" i="5"/>
  <c r="P177" i="5"/>
  <c r="P359" i="5"/>
  <c r="P446" i="5"/>
  <c r="P246" i="5"/>
  <c r="P472" i="5"/>
  <c r="P321" i="5"/>
  <c r="P226" i="5"/>
  <c r="P20" i="5"/>
  <c r="P493" i="5"/>
  <c r="P23" i="5"/>
  <c r="P26" i="5"/>
  <c r="P186" i="5"/>
  <c r="P490" i="5"/>
  <c r="P305" i="5"/>
  <c r="P467" i="5"/>
  <c r="P508" i="5"/>
  <c r="P57" i="5"/>
  <c r="P136" i="5"/>
  <c r="P221" i="5"/>
  <c r="P533" i="5"/>
  <c r="P211" i="5"/>
  <c r="P481" i="5"/>
  <c r="P338" i="5"/>
  <c r="P516" i="5"/>
  <c r="P428" i="5"/>
  <c r="P138" i="5"/>
  <c r="P52" i="5"/>
  <c r="P63" i="5"/>
  <c r="P143" i="5"/>
  <c r="P536" i="5"/>
  <c r="P102" i="5"/>
  <c r="P247" i="5"/>
  <c r="P89" i="5"/>
  <c r="P548" i="5"/>
  <c r="P553" i="5"/>
  <c r="P511" i="5"/>
  <c r="P471" i="5"/>
  <c r="P54" i="5"/>
  <c r="P390" i="5"/>
  <c r="P205" i="5"/>
  <c r="P48" i="5"/>
  <c r="P365" i="5"/>
  <c r="P361" i="5"/>
  <c r="P396" i="5"/>
  <c r="P420" i="5"/>
  <c r="P196" i="5"/>
  <c r="P502" i="5"/>
  <c r="P501" i="5"/>
  <c r="P407" i="5"/>
  <c r="P189" i="5"/>
  <c r="P357" i="5"/>
  <c r="P86" i="5"/>
  <c r="P241" i="5"/>
  <c r="P219" i="5"/>
  <c r="P375" i="5"/>
  <c r="P106" i="5"/>
  <c r="P117" i="5"/>
  <c r="P340" i="5"/>
  <c r="P103" i="5"/>
  <c r="P284" i="5"/>
  <c r="P251" i="5"/>
  <c r="P215" i="5"/>
  <c r="P400" i="5"/>
  <c r="P176" i="5"/>
  <c r="P395" i="5"/>
  <c r="P146" i="5"/>
  <c r="P540" i="5"/>
  <c r="P114" i="5"/>
  <c r="P469" i="5"/>
  <c r="P317" i="5"/>
  <c r="P131" i="5"/>
  <c r="P318" i="5"/>
  <c r="P173" i="5"/>
  <c r="P216" i="5"/>
  <c r="P140" i="5"/>
  <c r="P293" i="5"/>
  <c r="P152" i="5"/>
  <c r="P78" i="5"/>
  <c r="P147" i="5"/>
  <c r="P461" i="5"/>
  <c r="P198" i="5"/>
  <c r="P169" i="5"/>
  <c r="P273" i="5"/>
  <c r="P161" i="5"/>
  <c r="P174" i="5"/>
  <c r="P163" i="5"/>
  <c r="P257" i="5"/>
  <c r="P334" i="5"/>
  <c r="P228" i="5"/>
  <c r="P179" i="5"/>
  <c r="P206" i="5"/>
  <c r="P12" i="5"/>
  <c r="P336" i="5"/>
  <c r="P192" i="5"/>
  <c r="P312" i="5"/>
  <c r="P126" i="5"/>
  <c r="P460" i="5"/>
  <c r="P520" i="5"/>
  <c r="P71" i="5"/>
  <c r="P227" i="5"/>
  <c r="P484" i="5"/>
  <c r="P200" i="5"/>
  <c r="P24" i="5"/>
  <c r="P157" i="5"/>
  <c r="P94" i="5"/>
  <c r="P398" i="5"/>
  <c r="P261" i="5"/>
  <c r="P259" i="5"/>
  <c r="P557" i="5"/>
  <c r="P404" i="5"/>
  <c r="P439" i="5"/>
  <c r="P145" i="5"/>
  <c r="P371" i="5"/>
  <c r="P310" i="5"/>
  <c r="P111" i="5"/>
  <c r="P212" i="5"/>
  <c r="P546" i="5"/>
  <c r="P250" i="5"/>
  <c r="P224" i="5"/>
  <c r="P503" i="5"/>
  <c r="P456" i="5"/>
  <c r="P354" i="5"/>
  <c r="P142" i="5"/>
  <c r="P10" i="5"/>
  <c r="P283" i="5"/>
  <c r="P355" i="5"/>
  <c r="P135" i="5"/>
  <c r="P270" i="5"/>
  <c r="P356" i="5"/>
  <c r="P59" i="5"/>
  <c r="P423" i="5"/>
  <c r="P127" i="5"/>
  <c r="P244" i="5"/>
  <c r="P392" i="5"/>
  <c r="P313" i="5"/>
  <c r="P232" i="5"/>
  <c r="P413" i="5"/>
  <c r="P529" i="5"/>
  <c r="P50" i="5"/>
  <c r="P32" i="5"/>
  <c r="P280" i="5"/>
  <c r="P386" i="5"/>
  <c r="P330" i="5"/>
  <c r="P238" i="5"/>
  <c r="P193" i="5"/>
  <c r="P39" i="5"/>
  <c r="P58" i="5"/>
  <c r="P233" i="5"/>
  <c r="P75" i="5"/>
  <c r="P188" i="5"/>
  <c r="P363" i="5"/>
  <c r="P345" i="5"/>
  <c r="P92" i="5"/>
  <c r="P239" i="5"/>
  <c r="P459" i="5"/>
  <c r="P556" i="5"/>
  <c r="P454" i="5"/>
  <c r="P302" i="5"/>
  <c r="P534" i="5"/>
  <c r="P494" i="5"/>
  <c r="P133" i="5"/>
  <c r="P496" i="5"/>
  <c r="P311" i="5"/>
  <c r="P304" i="5"/>
  <c r="P315" i="5"/>
  <c r="P60" i="5"/>
  <c r="P382" i="5"/>
  <c r="P525" i="5"/>
  <c r="P527" i="5"/>
  <c r="P367" i="5"/>
  <c r="P96" i="5"/>
  <c r="P218" i="5"/>
  <c r="P170" i="5"/>
  <c r="P444" i="5"/>
  <c r="P344" i="5"/>
  <c r="P418" i="5"/>
  <c r="P167" i="5"/>
  <c r="P517" i="5"/>
  <c r="P455" i="5"/>
  <c r="P235" i="5"/>
  <c r="P249" i="5"/>
  <c r="P35" i="5"/>
  <c r="P9" i="5"/>
  <c r="P248" i="5"/>
  <c r="P129" i="5"/>
  <c r="AE95" i="4"/>
  <c r="AH95" i="4"/>
  <c r="AE46" i="4"/>
  <c r="AH46" i="4"/>
  <c r="Z46" i="4"/>
  <c r="X46" i="4" s="1"/>
  <c r="AE50" i="4"/>
  <c r="AH50" i="4"/>
  <c r="Z50" i="4"/>
  <c r="AH48" i="4"/>
  <c r="AE48" i="4"/>
  <c r="Z48" i="4"/>
  <c r="X48" i="4" s="1"/>
  <c r="AH53" i="4"/>
  <c r="AE53" i="4"/>
  <c r="Z53" i="4"/>
  <c r="X53" i="4" s="1"/>
  <c r="AJ53" i="4" s="1"/>
  <c r="AE91" i="4"/>
  <c r="AA91" i="4"/>
  <c r="AH91" i="4"/>
  <c r="Z91" i="4"/>
  <c r="AH122" i="4"/>
  <c r="AE122" i="4"/>
  <c r="AH99" i="4"/>
  <c r="AA99" i="4"/>
  <c r="AE99" i="4"/>
  <c r="Z99" i="4"/>
  <c r="B185" i="2"/>
  <c r="B219" i="2"/>
  <c r="H64" i="1" s="1"/>
  <c r="AE7" i="5"/>
  <c r="BF7" i="5"/>
  <c r="AD7" i="5"/>
  <c r="B184" i="2" s="1"/>
  <c r="AE54" i="4"/>
  <c r="AH54" i="4"/>
  <c r="AH24" i="4"/>
  <c r="AE24" i="4"/>
  <c r="Z24" i="4"/>
  <c r="X24" i="4" s="1"/>
  <c r="AJ24" i="4" s="1"/>
  <c r="O11" i="5"/>
  <c r="Q408" i="5"/>
  <c r="Q53" i="5"/>
  <c r="Q154" i="5"/>
  <c r="Q150" i="5"/>
  <c r="Q287" i="5"/>
  <c r="Q385" i="5"/>
  <c r="Q464" i="5"/>
  <c r="Q459" i="5"/>
  <c r="Q418" i="5"/>
  <c r="Q424" i="5"/>
  <c r="Q402" i="5"/>
  <c r="Q495" i="5"/>
  <c r="Q177" i="5"/>
  <c r="Q404" i="5"/>
  <c r="Q45" i="5"/>
  <c r="Q504" i="5"/>
  <c r="Q392" i="5"/>
  <c r="Q325" i="5"/>
  <c r="Q292" i="5"/>
  <c r="Q416" i="5"/>
  <c r="Q471" i="5"/>
  <c r="Q339" i="5"/>
  <c r="Q131" i="5"/>
  <c r="Q400" i="5"/>
  <c r="Q48" i="5"/>
  <c r="Q79" i="5"/>
  <c r="Q488" i="5"/>
  <c r="Q69" i="5"/>
  <c r="Q421" i="5"/>
  <c r="Q455" i="5"/>
  <c r="Q233" i="5"/>
  <c r="Q137" i="5"/>
  <c r="Q366" i="5"/>
  <c r="Q214" i="5"/>
  <c r="Q281" i="5"/>
  <c r="Q168" i="5"/>
  <c r="Q143" i="5"/>
  <c r="Q285" i="5"/>
  <c r="Q442" i="5"/>
  <c r="B40" i="5"/>
  <c r="Q133" i="5"/>
  <c r="Q194" i="5"/>
  <c r="Q386" i="5"/>
  <c r="Q123" i="5"/>
  <c r="Q158" i="5"/>
  <c r="Q534" i="5"/>
  <c r="Q134" i="5"/>
  <c r="Q460" i="5"/>
  <c r="Q103" i="5"/>
  <c r="Q33" i="5"/>
  <c r="Q244" i="5"/>
  <c r="Q269" i="5"/>
  <c r="Q531" i="5"/>
  <c r="Q117" i="5"/>
  <c r="Q451" i="5"/>
  <c r="Q542" i="5"/>
  <c r="Q362" i="5"/>
  <c r="Q517" i="5"/>
  <c r="Q452" i="5"/>
  <c r="Q111" i="5"/>
  <c r="Q540" i="5"/>
  <c r="Q173" i="5"/>
  <c r="Q363" i="5"/>
  <c r="Q350" i="5"/>
  <c r="Q55" i="5"/>
  <c r="Q286" i="5"/>
  <c r="Q81" i="5"/>
  <c r="Q529" i="5"/>
  <c r="Q119" i="5"/>
  <c r="Q317" i="5"/>
  <c r="Q156" i="5"/>
  <c r="Q389" i="5"/>
  <c r="Q274" i="5"/>
  <c r="Q458" i="5"/>
  <c r="Q466" i="5"/>
  <c r="Q72" i="5"/>
  <c r="Q465" i="5"/>
  <c r="Q89" i="5"/>
  <c r="Q12" i="5"/>
  <c r="Q461" i="5"/>
  <c r="Q144" i="5"/>
  <c r="Q70" i="5"/>
  <c r="Q113" i="5"/>
  <c r="Q434" i="5"/>
  <c r="Q503" i="5"/>
  <c r="Q322" i="5"/>
  <c r="Q390" i="5"/>
  <c r="Q66" i="5"/>
  <c r="Q124" i="5"/>
  <c r="Q547" i="5"/>
  <c r="Q24" i="5"/>
  <c r="Q412" i="5"/>
  <c r="Q361" i="5"/>
  <c r="Q161" i="5"/>
  <c r="Q283" i="5"/>
  <c r="Q506" i="5"/>
  <c r="Q146" i="5"/>
  <c r="Q217" i="5"/>
  <c r="Q246" i="5"/>
  <c r="Q187" i="5"/>
  <c r="Q108" i="5"/>
  <c r="Q513" i="5"/>
  <c r="Q238" i="5"/>
  <c r="Q204" i="5"/>
  <c r="Q97" i="5"/>
  <c r="Q96" i="5"/>
  <c r="Q273" i="5"/>
  <c r="Q149" i="5"/>
  <c r="Q104" i="5"/>
  <c r="Q272" i="5"/>
  <c r="Q212" i="5"/>
  <c r="Q393" i="5"/>
  <c r="Q52" i="5"/>
  <c r="Q215" i="5"/>
  <c r="Q301" i="5"/>
  <c r="Q346" i="5"/>
  <c r="Q224" i="5"/>
  <c r="Q327" i="5"/>
  <c r="Q99" i="5"/>
  <c r="Q296" i="5"/>
  <c r="Q388" i="5"/>
  <c r="Q321" i="5"/>
  <c r="Q356" i="5"/>
  <c r="Q535" i="5"/>
  <c r="Q23" i="5"/>
  <c r="Q62" i="5"/>
  <c r="Q110" i="5"/>
  <c r="Q315" i="5"/>
  <c r="Q448" i="5"/>
  <c r="Q132" i="5"/>
  <c r="Q39" i="5"/>
  <c r="Q82" i="5"/>
  <c r="Q328" i="5"/>
  <c r="Q336" i="5"/>
  <c r="Q359" i="5"/>
  <c r="Q19" i="5"/>
  <c r="Q348" i="5"/>
  <c r="Q207" i="5"/>
  <c r="Q538" i="5"/>
  <c r="Q197" i="5"/>
  <c r="Q184" i="5"/>
  <c r="Q463" i="5"/>
  <c r="Q333" i="5"/>
  <c r="Q349" i="5"/>
  <c r="Q58" i="5"/>
  <c r="Q326" i="5"/>
  <c r="Q530" i="5"/>
  <c r="Q172" i="5"/>
  <c r="Q26" i="5"/>
  <c r="Q293" i="5"/>
  <c r="Q266" i="5"/>
  <c r="Q320" i="5"/>
  <c r="Q304" i="5"/>
  <c r="Q518" i="5"/>
  <c r="Q29" i="5"/>
  <c r="Q163" i="5"/>
  <c r="Q211" i="5"/>
  <c r="Q438" i="5"/>
  <c r="Q515" i="5"/>
  <c r="Q261" i="5"/>
  <c r="Q27" i="5"/>
  <c r="Q382" i="5"/>
  <c r="Q505" i="5"/>
  <c r="Q248" i="5"/>
  <c r="Q409" i="5"/>
  <c r="Q114" i="5"/>
  <c r="Q64" i="5"/>
  <c r="Q74" i="5"/>
  <c r="Q484" i="5"/>
  <c r="Q543" i="5"/>
  <c r="Q351" i="5"/>
  <c r="Q473" i="5"/>
  <c r="Q199" i="5"/>
  <c r="Q428" i="5"/>
  <c r="Q279" i="5"/>
  <c r="Q427" i="5"/>
  <c r="Q73" i="5"/>
  <c r="Q387" i="5"/>
  <c r="Q480" i="5"/>
  <c r="Q414" i="5"/>
  <c r="Q501" i="5"/>
  <c r="Q541" i="5"/>
  <c r="Q157" i="5"/>
  <c r="Q467" i="5"/>
  <c r="Q213" i="5"/>
  <c r="Q8" i="5"/>
  <c r="Q396" i="5"/>
  <c r="Q140" i="5"/>
  <c r="Q411" i="5"/>
  <c r="Q78" i="5"/>
  <c r="Q46" i="5"/>
  <c r="Q552" i="5"/>
  <c r="Q477" i="5"/>
  <c r="Q344" i="5"/>
  <c r="Q61" i="5"/>
  <c r="Q370" i="5"/>
  <c r="Q528" i="5"/>
  <c r="Q288" i="5"/>
  <c r="Q202" i="5"/>
  <c r="Q164" i="5"/>
  <c r="Q250" i="5"/>
  <c r="Q300" i="5"/>
  <c r="Q334" i="5"/>
  <c r="Q228" i="5"/>
  <c r="Q364" i="5"/>
  <c r="Q219" i="5"/>
  <c r="Q309" i="5"/>
  <c r="Q200" i="5"/>
  <c r="Q38" i="5"/>
  <c r="Q28" i="5"/>
  <c r="Q44" i="5"/>
  <c r="Q379" i="5"/>
  <c r="Q377" i="5"/>
  <c r="Q499" i="5"/>
  <c r="Q453" i="5"/>
  <c r="Q446" i="5"/>
  <c r="Q329" i="5"/>
  <c r="Q88" i="5"/>
  <c r="Q40" i="5"/>
  <c r="Q553" i="5"/>
  <c r="Q399" i="5"/>
  <c r="Q263" i="5"/>
  <c r="Q368" i="5"/>
  <c r="Q429" i="5"/>
  <c r="Q456" i="5"/>
  <c r="Q185" i="5"/>
  <c r="Q278" i="5"/>
  <c r="Q431" i="5"/>
  <c r="Q130" i="5"/>
  <c r="Q159" i="5"/>
  <c r="Q496" i="5"/>
  <c r="Q494" i="5"/>
  <c r="Q338" i="5"/>
  <c r="Q291" i="5"/>
  <c r="Q155" i="5"/>
  <c r="Q106" i="5"/>
  <c r="Q492" i="5"/>
  <c r="Q176" i="5"/>
  <c r="Q384" i="5"/>
  <c r="Q433" i="5"/>
  <c r="Q472" i="5"/>
  <c r="Q347" i="5"/>
  <c r="Q255" i="5"/>
  <c r="Q230" i="5"/>
  <c r="Q243" i="5"/>
  <c r="Q332" i="5"/>
  <c r="Q95" i="5"/>
  <c r="Q31" i="5"/>
  <c r="Q251" i="5"/>
  <c r="Q167" i="5"/>
  <c r="Q372" i="5"/>
  <c r="Q171" i="5"/>
  <c r="Q175" i="5"/>
  <c r="Q277" i="5"/>
  <c r="Q479" i="5"/>
  <c r="Q239" i="5"/>
  <c r="Q440" i="5"/>
  <c r="Q397" i="5"/>
  <c r="Q549" i="5"/>
  <c r="Q258" i="5"/>
  <c r="Q422" i="5"/>
  <c r="Q236" i="5"/>
  <c r="Q229" i="5"/>
  <c r="Q189" i="5"/>
  <c r="Q548" i="5"/>
  <c r="Q136" i="5"/>
  <c r="Q474" i="5"/>
  <c r="Q312" i="5"/>
  <c r="Q10" i="5"/>
  <c r="Q554" i="5"/>
  <c r="Q523" i="5"/>
  <c r="Q525" i="5"/>
  <c r="Q51" i="5"/>
  <c r="Q470" i="5"/>
  <c r="Q483" i="5"/>
  <c r="Q437" i="5"/>
  <c r="Q352" i="5"/>
  <c r="Q245" i="5"/>
  <c r="Q75" i="5"/>
  <c r="Q100" i="5"/>
  <c r="Q498" i="5"/>
  <c r="Q275" i="5"/>
  <c r="Q371" i="5"/>
  <c r="Q307" i="5"/>
  <c r="Q305" i="5"/>
  <c r="Q524" i="5"/>
  <c r="Q330" i="5"/>
  <c r="Q160" i="5"/>
  <c r="Q545" i="5"/>
  <c r="Q139" i="5"/>
  <c r="Q345" i="5"/>
  <c r="Q262" i="5"/>
  <c r="Q101" i="5"/>
  <c r="Q43" i="5"/>
  <c r="Q558" i="5"/>
  <c r="Q198" i="5"/>
  <c r="Q166" i="5"/>
  <c r="Q208" i="5"/>
  <c r="Q247" i="5"/>
  <c r="Q358" i="5"/>
  <c r="Q254" i="5"/>
  <c r="Q365" i="5"/>
  <c r="Q487" i="5"/>
  <c r="Q77" i="5"/>
  <c r="Q314" i="5"/>
  <c r="Q92" i="5"/>
  <c r="Q290" i="5"/>
  <c r="Q403" i="5"/>
  <c r="Q308" i="5"/>
  <c r="Q54" i="5"/>
  <c r="Q374" i="5"/>
  <c r="Q511" i="5"/>
  <c r="Q417" i="5"/>
  <c r="Q485" i="5"/>
  <c r="Q341" i="5"/>
  <c r="Q84" i="5"/>
  <c r="Q32" i="5"/>
  <c r="Q449" i="5"/>
  <c r="Q115" i="5"/>
  <c r="Q216" i="5"/>
  <c r="Q220" i="5"/>
  <c r="Q551" i="5"/>
  <c r="Q445" i="5"/>
  <c r="Q153" i="5"/>
  <c r="Q192" i="5"/>
  <c r="Q30" i="5"/>
  <c r="Q76" i="5"/>
  <c r="Q297" i="5"/>
  <c r="Q122" i="5"/>
  <c r="Q284" i="5"/>
  <c r="Q482" i="5"/>
  <c r="Q469" i="5"/>
  <c r="Q354" i="5"/>
  <c r="Q170" i="5"/>
  <c r="Q174" i="5"/>
  <c r="Q380" i="5"/>
  <c r="Q430" i="5"/>
  <c r="Q294" i="5"/>
  <c r="Q475" i="5"/>
  <c r="Q340" i="5"/>
  <c r="Q410" i="5"/>
  <c r="Q165" i="5"/>
  <c r="Q426" i="5"/>
  <c r="Q491" i="5"/>
  <c r="Q241" i="5"/>
  <c r="Q186" i="5"/>
  <c r="Q468" i="5"/>
  <c r="Q205" i="5"/>
  <c r="Q502" i="5"/>
  <c r="Q436" i="5"/>
  <c r="Q337" i="5"/>
  <c r="Q196" i="5"/>
  <c r="Q260" i="5"/>
  <c r="Q42" i="5"/>
  <c r="Q276" i="5"/>
  <c r="Q83" i="5"/>
  <c r="Q87" i="5"/>
  <c r="Q405" i="5"/>
  <c r="Q268" i="5"/>
  <c r="Q519" i="5"/>
  <c r="Q478" i="5"/>
  <c r="Q407" i="5"/>
  <c r="Q532" i="5"/>
  <c r="Q49" i="5"/>
  <c r="Q86" i="5"/>
  <c r="Q526" i="5"/>
  <c r="Q450" i="5"/>
  <c r="Q270" i="5"/>
  <c r="Q310" i="5"/>
  <c r="Q360" i="5"/>
  <c r="Q490" i="5"/>
  <c r="Q406" i="5"/>
  <c r="Q316" i="5"/>
  <c r="Q447" i="5"/>
  <c r="Q521" i="5"/>
  <c r="Q41" i="5"/>
  <c r="Q353" i="5"/>
  <c r="Q90" i="5"/>
  <c r="Q313" i="5"/>
  <c r="Q420" i="5"/>
  <c r="Q493" i="5"/>
  <c r="Q148" i="5"/>
  <c r="Q152" i="5"/>
  <c r="Q162" i="5"/>
  <c r="Q112" i="5"/>
  <c r="Q395" i="5"/>
  <c r="Q127" i="5"/>
  <c r="Q232" i="5"/>
  <c r="Q94" i="5"/>
  <c r="Q439" i="5"/>
  <c r="Q271" i="5"/>
  <c r="Q147" i="5"/>
  <c r="Q226" i="5"/>
  <c r="Q227" i="5"/>
  <c r="Q355" i="5"/>
  <c r="Q203" i="5"/>
  <c r="Q235" i="5"/>
  <c r="Q221" i="5"/>
  <c r="Q510" i="5"/>
  <c r="Q59" i="5"/>
  <c r="Q383" i="5"/>
  <c r="Q481" i="5"/>
  <c r="Q22" i="5"/>
  <c r="Q546" i="5"/>
  <c r="Q67" i="5"/>
  <c r="Q457" i="5"/>
  <c r="Q280" i="5"/>
  <c r="Q556" i="5"/>
  <c r="Q188" i="5"/>
  <c r="Q516" i="5"/>
  <c r="Q335" i="5"/>
  <c r="Q85" i="5"/>
  <c r="Q252" i="5"/>
  <c r="Q169" i="5"/>
  <c r="Q145" i="5"/>
  <c r="Q126" i="5"/>
  <c r="Q50" i="5"/>
  <c r="Q142" i="5"/>
  <c r="Q560" i="5"/>
  <c r="Q178" i="5"/>
  <c r="Q376" i="5"/>
  <c r="Q295" i="5"/>
  <c r="Q544" i="5"/>
  <c r="Q195" i="5"/>
  <c r="Q539" i="5"/>
  <c r="Q193" i="5"/>
  <c r="Q425" i="5"/>
  <c r="Q486" i="5"/>
  <c r="Q218" i="5"/>
  <c r="Q319" i="5"/>
  <c r="Q98" i="5"/>
  <c r="Q20" i="5"/>
  <c r="Q342" i="5"/>
  <c r="Q500" i="5"/>
  <c r="Q21" i="5"/>
  <c r="Q259" i="5"/>
  <c r="Q231" i="5"/>
  <c r="Q537" i="5"/>
  <c r="Q559" i="5"/>
  <c r="Q289" i="5"/>
  <c r="Q391" i="5"/>
  <c r="Q190" i="5"/>
  <c r="Q138" i="5"/>
  <c r="Q444" i="5"/>
  <c r="Q206" i="5"/>
  <c r="Q225" i="5"/>
  <c r="Q398" i="5"/>
  <c r="Q508" i="5"/>
  <c r="Q306" i="5"/>
  <c r="Q514" i="5"/>
  <c r="Q181" i="5"/>
  <c r="Q324" i="5"/>
  <c r="Q462" i="5"/>
  <c r="Q68" i="5"/>
  <c r="Q413" i="5"/>
  <c r="Q489" i="5"/>
  <c r="Q476" i="5"/>
  <c r="Q415" i="5"/>
  <c r="Q57" i="5"/>
  <c r="Q536" i="5"/>
  <c r="Q65" i="5"/>
  <c r="Q441" i="5"/>
  <c r="Q234" i="5"/>
  <c r="Q401" i="5"/>
  <c r="Q120" i="5"/>
  <c r="Q201" i="5"/>
  <c r="Q507" i="5"/>
  <c r="Q37" i="5"/>
  <c r="Q71" i="5"/>
  <c r="Q209" i="5"/>
  <c r="Q520" i="5"/>
  <c r="Q343" i="5"/>
  <c r="Q249" i="5"/>
  <c r="Q435" i="5"/>
  <c r="Q299" i="5"/>
  <c r="Q533" i="5"/>
  <c r="Q116" i="5"/>
  <c r="Q357" i="5"/>
  <c r="Q102" i="5"/>
  <c r="Q419" i="5"/>
  <c r="Q180" i="5"/>
  <c r="Q512" i="5"/>
  <c r="Q47" i="5"/>
  <c r="Q253" i="5"/>
  <c r="Q60" i="5"/>
  <c r="Q105" i="5"/>
  <c r="Q36" i="5"/>
  <c r="Q128" i="5"/>
  <c r="Q527" i="5"/>
  <c r="Q557" i="5"/>
  <c r="Q25" i="5"/>
  <c r="Q125" i="5"/>
  <c r="Q93" i="5"/>
  <c r="Q267" i="5"/>
  <c r="Q121" i="5"/>
  <c r="Q223" i="5"/>
  <c r="Q237" i="5"/>
  <c r="Q331" i="5"/>
  <c r="Q80" i="5"/>
  <c r="Q378" i="5"/>
  <c r="Q91" i="5"/>
  <c r="Q394" i="5"/>
  <c r="Q141" i="5"/>
  <c r="Q257" i="5"/>
  <c r="Q191" i="5"/>
  <c r="Q555" i="5"/>
  <c r="Q56" i="5"/>
  <c r="Q454" i="5"/>
  <c r="Q497" i="5"/>
  <c r="Q182" i="5"/>
  <c r="Q109" i="5"/>
  <c r="Q34" i="5"/>
  <c r="Q298" i="5"/>
  <c r="Q256" i="5"/>
  <c r="Q373" i="5"/>
  <c r="Q240" i="5"/>
  <c r="Q509" i="5"/>
  <c r="Q423" i="5"/>
  <c r="Q369" i="5"/>
  <c r="Q107" i="5"/>
  <c r="Q210" i="5"/>
  <c r="Q118" i="5"/>
  <c r="Q323" i="5"/>
  <c r="Q222" i="5"/>
  <c r="Q443" i="5"/>
  <c r="Q367" i="5"/>
  <c r="Q265" i="5"/>
  <c r="Q129" i="5"/>
  <c r="Q303" i="5"/>
  <c r="Q242" i="5"/>
  <c r="Q264" i="5"/>
  <c r="Q151" i="5"/>
  <c r="Q318" i="5"/>
  <c r="Q302" i="5"/>
  <c r="Q375" i="5"/>
  <c r="Q381" i="5"/>
  <c r="Q522" i="5"/>
  <c r="Q13" i="5"/>
  <c r="Q550" i="5"/>
  <c r="Q432" i="5"/>
  <c r="Q282" i="5"/>
  <c r="Q183" i="5"/>
  <c r="Q35" i="5"/>
  <c r="Q135" i="5"/>
  <c r="Q63" i="5"/>
  <c r="Q311" i="5"/>
  <c r="Q179" i="5"/>
  <c r="Q9" i="5"/>
  <c r="AQ49" i="5"/>
  <c r="BI49" i="5"/>
  <c r="AR49" i="5"/>
  <c r="AP84" i="5"/>
  <c r="AR352" i="5"/>
  <c r="AQ352" i="5"/>
  <c r="BI352" i="5"/>
  <c r="AP386" i="5"/>
  <c r="AP219" i="5"/>
  <c r="BI456" i="5"/>
  <c r="AQ456" i="5"/>
  <c r="AR456" i="5"/>
  <c r="AP485" i="5"/>
  <c r="BI103" i="5"/>
  <c r="AQ103" i="5"/>
  <c r="AR103" i="5"/>
  <c r="AP151" i="5"/>
  <c r="AP73" i="5"/>
  <c r="AP372" i="5"/>
  <c r="AE108" i="4"/>
  <c r="AH108" i="4"/>
  <c r="AE150" i="4"/>
  <c r="AH150" i="4"/>
  <c r="Z150" i="4"/>
  <c r="AA150" i="4"/>
  <c r="AE57" i="4"/>
  <c r="AH57" i="4"/>
  <c r="AA70" i="4"/>
  <c r="Z70" i="4"/>
  <c r="AE70" i="4"/>
  <c r="AH70" i="4"/>
  <c r="AH148" i="4"/>
  <c r="AE148" i="4"/>
  <c r="AA84" i="4"/>
  <c r="AH84" i="4"/>
  <c r="AE84" i="4"/>
  <c r="Z84" i="4"/>
  <c r="AH144" i="4"/>
  <c r="AE144" i="4"/>
  <c r="AE128" i="4"/>
  <c r="AH128" i="4"/>
  <c r="AH106" i="4"/>
  <c r="AE106" i="4"/>
  <c r="AE88" i="4"/>
  <c r="AA88" i="4"/>
  <c r="Z88" i="4"/>
  <c r="AH88" i="4"/>
  <c r="AH140" i="4"/>
  <c r="AE140" i="4"/>
  <c r="AH20" i="4"/>
  <c r="Z20" i="4"/>
  <c r="X20" i="4" s="1"/>
  <c r="AJ20" i="4" s="1"/>
  <c r="AE20" i="4"/>
  <c r="AE135" i="4"/>
  <c r="AH135" i="4"/>
  <c r="AH55" i="4"/>
  <c r="AE55" i="4"/>
  <c r="AE105" i="4"/>
  <c r="AH105" i="4"/>
  <c r="AE130" i="4"/>
  <c r="AH130" i="4"/>
  <c r="AE43" i="4"/>
  <c r="AH43" i="4"/>
  <c r="Z43" i="4"/>
  <c r="X43" i="4" s="1"/>
  <c r="AA119" i="4"/>
  <c r="AH119" i="4"/>
  <c r="Z119" i="4"/>
  <c r="AE119" i="4"/>
  <c r="AH39" i="4"/>
  <c r="AE39" i="4"/>
  <c r="Z39" i="4"/>
  <c r="X39" i="4" s="1"/>
  <c r="AH102" i="4"/>
  <c r="AE102" i="4"/>
  <c r="AE56" i="4"/>
  <c r="AH56" i="4"/>
  <c r="Z68" i="4"/>
  <c r="AH68" i="4"/>
  <c r="AE68" i="4"/>
  <c r="AA68" i="4"/>
  <c r="AE37" i="4"/>
  <c r="AH37" i="4"/>
  <c r="Z37" i="4"/>
  <c r="X37" i="4" s="1"/>
  <c r="AH41" i="4"/>
  <c r="AE41" i="4"/>
  <c r="Z41" i="4"/>
  <c r="AE34" i="4"/>
  <c r="AH34" i="4"/>
  <c r="Z34" i="4"/>
  <c r="X34" i="4" s="1"/>
  <c r="AH113" i="4"/>
  <c r="AE113" i="4"/>
  <c r="AE109" i="4"/>
  <c r="AH109" i="4"/>
  <c r="AH136" i="4"/>
  <c r="AE136" i="4"/>
  <c r="AE129" i="4"/>
  <c r="AH129" i="4"/>
  <c r="AE98" i="4"/>
  <c r="AH98" i="4"/>
  <c r="AH64" i="4"/>
  <c r="AE64" i="4"/>
  <c r="Z64" i="4"/>
  <c r="AE146" i="4"/>
  <c r="Z146" i="4"/>
  <c r="AA146" i="4"/>
  <c r="AH146" i="4"/>
  <c r="AE85" i="4"/>
  <c r="AH85" i="4"/>
  <c r="BI559" i="5"/>
  <c r="AQ559" i="5"/>
  <c r="AR559" i="5"/>
  <c r="AP186" i="5"/>
  <c r="AP284" i="5"/>
  <c r="AP54" i="5"/>
  <c r="AP13" i="5"/>
  <c r="AQ239" i="5"/>
  <c r="AR239" i="5"/>
  <c r="BI239" i="5"/>
  <c r="AP209" i="5"/>
  <c r="AP416" i="5"/>
  <c r="AP462" i="5"/>
  <c r="AP419" i="5"/>
  <c r="AP504" i="5"/>
  <c r="AR415" i="5"/>
  <c r="AQ415" i="5"/>
  <c r="BI415" i="5"/>
  <c r="AP77" i="5"/>
  <c r="AE117" i="4"/>
  <c r="AH117" i="4"/>
  <c r="AE81" i="4"/>
  <c r="AH81" i="4"/>
  <c r="AO537" i="5"/>
  <c r="AN537" i="5"/>
  <c r="AO509" i="5"/>
  <c r="AN509" i="5"/>
  <c r="AN213" i="5"/>
  <c r="AO213" i="5"/>
  <c r="AN259" i="5"/>
  <c r="AO259" i="5"/>
  <c r="AN95" i="5"/>
  <c r="AO95" i="5"/>
  <c r="AO135" i="5"/>
  <c r="AN135" i="5"/>
  <c r="AO393" i="5"/>
  <c r="AN393" i="5"/>
  <c r="AN482" i="5"/>
  <c r="AO482" i="5"/>
  <c r="AN149" i="5"/>
  <c r="AO149" i="5"/>
  <c r="AN129" i="5"/>
  <c r="AO129" i="5"/>
  <c r="AO333" i="5"/>
  <c r="AN333" i="5"/>
  <c r="AO365" i="5"/>
  <c r="AN365" i="5"/>
  <c r="AO497" i="5"/>
  <c r="AN497" i="5"/>
  <c r="AN61" i="5"/>
  <c r="AO61" i="5"/>
  <c r="AO463" i="5"/>
  <c r="AN463" i="5"/>
  <c r="AO408" i="5"/>
  <c r="AN408" i="5"/>
  <c r="AN273" i="5"/>
  <c r="AO273" i="5"/>
  <c r="AO526" i="5"/>
  <c r="AN526" i="5"/>
  <c r="AN291" i="5"/>
  <c r="AO291" i="5"/>
  <c r="AN127" i="5"/>
  <c r="AO127" i="5"/>
  <c r="AO293" i="5"/>
  <c r="AN293" i="5"/>
  <c r="AN220" i="5"/>
  <c r="AO220" i="5"/>
  <c r="AO453" i="5"/>
  <c r="AN453" i="5"/>
  <c r="AN442" i="5"/>
  <c r="AO442" i="5"/>
  <c r="AN138" i="5"/>
  <c r="AO138" i="5"/>
  <c r="AO500" i="5"/>
  <c r="AN500" i="5"/>
  <c r="AO495" i="5"/>
  <c r="AN495" i="5"/>
  <c r="AN294" i="5"/>
  <c r="AO294" i="5"/>
  <c r="AO310" i="5"/>
  <c r="AN310" i="5"/>
  <c r="AO477" i="5"/>
  <c r="AN477" i="5"/>
  <c r="AO137" i="5"/>
  <c r="AN137" i="5"/>
  <c r="AO173" i="5"/>
  <c r="AN173" i="5"/>
  <c r="AO401" i="5"/>
  <c r="AN401" i="5"/>
  <c r="AO49" i="5"/>
  <c r="AN49" i="5"/>
  <c r="AN150" i="5"/>
  <c r="AO150" i="5"/>
  <c r="AO59" i="5"/>
  <c r="AN59" i="5"/>
  <c r="AO347" i="5"/>
  <c r="AN347" i="5"/>
  <c r="AN227" i="5"/>
  <c r="AO227" i="5"/>
  <c r="AN458" i="5"/>
  <c r="AO458" i="5"/>
  <c r="AN480" i="5"/>
  <c r="AO480" i="5"/>
  <c r="AN428" i="5"/>
  <c r="AO428" i="5"/>
  <c r="AN476" i="5"/>
  <c r="AO476" i="5"/>
  <c r="AN361" i="5"/>
  <c r="AO361" i="5"/>
  <c r="AN270" i="5"/>
  <c r="AO270" i="5"/>
  <c r="AN250" i="5"/>
  <c r="AO250" i="5"/>
  <c r="AN207" i="5"/>
  <c r="AO207" i="5"/>
  <c r="AN254" i="5"/>
  <c r="AO254" i="5"/>
  <c r="AO553" i="5"/>
  <c r="AN553" i="5"/>
  <c r="AN25" i="5"/>
  <c r="AO25" i="5"/>
  <c r="AN231" i="5"/>
  <c r="AO231" i="5"/>
  <c r="AO371" i="5"/>
  <c r="AN371" i="5"/>
  <c r="AO172" i="5"/>
  <c r="AN172" i="5"/>
  <c r="AN214" i="5"/>
  <c r="AO214" i="5"/>
  <c r="AO128" i="5"/>
  <c r="AN128" i="5"/>
  <c r="AN141" i="5"/>
  <c r="AO141" i="5"/>
  <c r="AN550" i="5"/>
  <c r="AO550" i="5"/>
  <c r="AN314" i="5"/>
  <c r="AO314" i="5"/>
  <c r="AN79" i="5"/>
  <c r="AO79" i="5"/>
  <c r="AO378" i="5"/>
  <c r="AN378" i="5"/>
  <c r="AO490" i="5"/>
  <c r="AN490" i="5"/>
  <c r="AO385" i="5"/>
  <c r="AN385" i="5"/>
  <c r="AO406" i="5"/>
  <c r="AN406" i="5"/>
  <c r="AN118" i="5"/>
  <c r="AO118" i="5"/>
  <c r="AO521" i="5"/>
  <c r="AN521" i="5"/>
  <c r="AO531" i="5"/>
  <c r="AN531" i="5"/>
  <c r="AO483" i="5"/>
  <c r="AN483" i="5"/>
  <c r="AO132" i="5"/>
  <c r="AN132" i="5"/>
  <c r="AO211" i="5"/>
  <c r="AN211" i="5"/>
  <c r="AN478" i="5"/>
  <c r="AO478" i="5"/>
  <c r="AO63" i="5"/>
  <c r="AN63" i="5"/>
  <c r="AN351" i="5"/>
  <c r="AO351" i="5"/>
  <c r="AN246" i="5"/>
  <c r="AO246" i="5"/>
  <c r="AN409" i="5"/>
  <c r="AO409" i="5"/>
  <c r="AO390" i="5"/>
  <c r="AN390" i="5"/>
  <c r="AO391" i="5"/>
  <c r="AN391" i="5"/>
  <c r="AO345" i="5"/>
  <c r="AN345" i="5"/>
  <c r="AN272" i="5"/>
  <c r="AO272" i="5"/>
  <c r="AO87" i="5"/>
  <c r="AN87" i="5"/>
  <c r="AN525" i="5"/>
  <c r="AO525" i="5"/>
  <c r="AO514" i="5"/>
  <c r="AN514" i="5"/>
  <c r="AO21" i="5"/>
  <c r="AN21" i="5"/>
  <c r="AO489" i="5"/>
  <c r="AN489" i="5"/>
  <c r="AO424" i="5"/>
  <c r="AN424" i="5"/>
  <c r="AN157" i="5"/>
  <c r="AO157" i="5"/>
  <c r="AN257" i="5"/>
  <c r="AO257" i="5"/>
  <c r="AO175" i="5"/>
  <c r="AN175" i="5"/>
  <c r="AO417" i="5"/>
  <c r="AN417" i="5"/>
  <c r="AH264" i="5"/>
  <c r="AI264" i="5"/>
  <c r="AI513" i="5"/>
  <c r="AH513" i="5"/>
  <c r="AI524" i="5"/>
  <c r="AH524" i="5"/>
  <c r="AI194" i="5"/>
  <c r="AH194" i="5"/>
  <c r="AI546" i="5"/>
  <c r="AH546" i="5"/>
  <c r="AI460" i="5"/>
  <c r="AH460" i="5"/>
  <c r="AH375" i="5"/>
  <c r="AI375" i="5"/>
  <c r="AH484" i="5"/>
  <c r="AI484" i="5"/>
  <c r="AH401" i="5"/>
  <c r="AI401" i="5"/>
  <c r="AI229" i="5"/>
  <c r="AH229" i="5"/>
  <c r="AH536" i="5"/>
  <c r="AI536" i="5"/>
  <c r="AI280" i="5"/>
  <c r="AH280" i="5"/>
  <c r="AH384" i="5"/>
  <c r="AI384" i="5"/>
  <c r="AH328" i="5"/>
  <c r="AI328" i="5"/>
  <c r="AI254" i="5"/>
  <c r="AH254" i="5"/>
  <c r="AI248" i="5"/>
  <c r="AH248" i="5"/>
  <c r="AH368" i="5"/>
  <c r="AI368" i="5"/>
  <c r="AI427" i="5"/>
  <c r="AH427" i="5"/>
  <c r="AH409" i="5"/>
  <c r="AI409" i="5"/>
  <c r="AH204" i="5"/>
  <c r="AI204" i="5"/>
  <c r="AI113" i="5"/>
  <c r="AH113" i="5"/>
  <c r="AH558" i="5"/>
  <c r="AI558" i="5"/>
  <c r="AI308" i="5"/>
  <c r="AH308" i="5"/>
  <c r="AI28" i="5"/>
  <c r="AH28" i="5"/>
  <c r="AI342" i="5"/>
  <c r="AH342" i="5"/>
  <c r="AI225" i="5"/>
  <c r="AH225" i="5"/>
  <c r="AI56" i="5"/>
  <c r="AH56" i="5"/>
  <c r="AI77" i="5"/>
  <c r="AH77" i="5"/>
  <c r="AI250" i="5"/>
  <c r="AH250" i="5"/>
  <c r="AH91" i="5"/>
  <c r="AI91" i="5"/>
  <c r="AH161" i="5"/>
  <c r="AI161" i="5"/>
  <c r="AH125" i="5"/>
  <c r="AI125" i="5"/>
  <c r="AH7" i="5"/>
  <c r="AI7" i="5"/>
  <c r="AI413" i="5"/>
  <c r="AH413" i="5"/>
  <c r="AH356" i="5"/>
  <c r="AI356" i="5"/>
  <c r="AI316" i="5"/>
  <c r="AH316" i="5"/>
  <c r="AH347" i="5"/>
  <c r="AI347" i="5"/>
  <c r="AI255" i="5"/>
  <c r="AH255" i="5"/>
  <c r="AH327" i="5"/>
  <c r="AI327" i="5"/>
  <c r="AH242" i="5"/>
  <c r="AI242" i="5"/>
  <c r="AI57" i="5"/>
  <c r="AH57" i="5"/>
  <c r="AH523" i="5"/>
  <c r="AI523" i="5"/>
  <c r="AI294" i="5"/>
  <c r="AH294" i="5"/>
  <c r="AH381" i="5"/>
  <c r="AI381" i="5"/>
  <c r="AH102" i="5"/>
  <c r="AI102" i="5"/>
  <c r="AI123" i="5"/>
  <c r="AH123" i="5"/>
  <c r="AH300" i="5"/>
  <c r="AI300" i="5"/>
  <c r="AH320" i="5"/>
  <c r="AI320" i="5"/>
  <c r="AI392" i="5"/>
  <c r="AH392" i="5"/>
  <c r="AI337" i="5"/>
  <c r="AH337" i="5"/>
  <c r="AH60" i="5"/>
  <c r="AI60" i="5"/>
  <c r="AI429" i="5"/>
  <c r="AH429" i="5"/>
  <c r="AH37" i="5"/>
  <c r="AI37" i="5"/>
  <c r="AH553" i="5"/>
  <c r="AI553" i="5"/>
  <c r="AI457" i="5"/>
  <c r="AH457" i="5"/>
  <c r="AH543" i="5"/>
  <c r="AI543" i="5"/>
  <c r="AI314" i="5"/>
  <c r="AH314" i="5"/>
  <c r="AH430" i="5"/>
  <c r="AI430" i="5"/>
  <c r="AH45" i="5"/>
  <c r="AI45" i="5"/>
  <c r="AI410" i="5"/>
  <c r="AH410" i="5"/>
  <c r="AH495" i="5"/>
  <c r="AI495" i="5"/>
  <c r="AH494" i="5"/>
  <c r="AI494" i="5"/>
  <c r="AI422" i="5"/>
  <c r="AH422" i="5"/>
  <c r="AI61" i="5"/>
  <c r="AH61" i="5"/>
  <c r="AH540" i="5"/>
  <c r="AI540" i="5"/>
  <c r="AH120" i="5"/>
  <c r="AI120" i="5"/>
  <c r="AI33" i="5"/>
  <c r="AH33" i="5"/>
  <c r="AH396" i="5"/>
  <c r="AI396" i="5"/>
  <c r="AI262" i="5"/>
  <c r="AH262" i="5"/>
  <c r="AI55" i="5"/>
  <c r="AH55" i="5"/>
  <c r="AI527" i="5"/>
  <c r="AH527" i="5"/>
  <c r="AI271" i="5"/>
  <c r="AH271" i="5"/>
  <c r="AH366" i="5"/>
  <c r="AI366" i="5"/>
  <c r="AI334" i="5"/>
  <c r="AH334" i="5"/>
  <c r="AH188" i="5"/>
  <c r="AI188" i="5"/>
  <c r="AH12" i="5"/>
  <c r="AI12" i="5"/>
  <c r="AH79" i="5"/>
  <c r="AI79" i="5"/>
  <c r="AH107" i="5"/>
  <c r="AI107" i="5"/>
  <c r="AI349" i="5"/>
  <c r="AH349" i="5"/>
  <c r="AH171" i="5"/>
  <c r="AI171" i="5"/>
  <c r="AH329" i="5"/>
  <c r="AI329" i="5"/>
  <c r="AI505" i="5"/>
  <c r="AH505" i="5"/>
  <c r="AI258" i="5"/>
  <c r="AH258" i="5"/>
  <c r="AH322" i="5"/>
  <c r="AI322" i="5"/>
  <c r="AI530" i="5"/>
  <c r="AH530" i="5"/>
  <c r="AI154" i="5"/>
  <c r="AH154" i="5"/>
  <c r="AI276" i="5"/>
  <c r="AH276" i="5"/>
  <c r="AI340" i="5"/>
  <c r="AH340" i="5"/>
  <c r="AI76" i="5"/>
  <c r="AH76" i="5"/>
  <c r="AI395" i="5"/>
  <c r="AH395" i="5"/>
  <c r="AI514" i="5"/>
  <c r="AH514" i="5"/>
  <c r="AH369" i="5"/>
  <c r="AI369" i="5"/>
  <c r="AH25" i="5"/>
  <c r="AI25" i="5"/>
  <c r="AH491" i="5"/>
  <c r="AI491" i="5"/>
  <c r="AH353" i="5"/>
  <c r="AI353" i="5"/>
  <c r="AH531" i="5"/>
  <c r="AI531" i="5"/>
  <c r="AH115" i="5"/>
  <c r="AI115" i="5"/>
  <c r="AI93" i="5"/>
  <c r="AH93" i="5"/>
  <c r="AH552" i="5"/>
  <c r="AI552" i="5"/>
  <c r="AI345" i="5"/>
  <c r="AH345" i="5"/>
  <c r="AI111" i="5"/>
  <c r="AH111" i="5"/>
  <c r="AI503" i="5"/>
  <c r="AH503" i="5"/>
  <c r="AH295" i="5"/>
  <c r="AI295" i="5"/>
  <c r="AH211" i="5"/>
  <c r="AI211" i="5"/>
  <c r="AH97" i="5"/>
  <c r="AI97" i="5"/>
  <c r="AH325" i="5"/>
  <c r="AI325" i="5"/>
  <c r="AI390" i="5"/>
  <c r="AH390" i="5"/>
  <c r="AH436" i="5"/>
  <c r="AI436" i="5"/>
  <c r="AH547" i="5"/>
  <c r="AI547" i="5"/>
  <c r="AI75" i="5"/>
  <c r="AH75" i="5"/>
  <c r="AI142" i="5"/>
  <c r="AH142" i="5"/>
  <c r="AH47" i="5"/>
  <c r="AI47" i="5"/>
  <c r="AH205" i="5"/>
  <c r="AI205" i="5"/>
  <c r="AI542" i="5"/>
  <c r="AH542" i="5"/>
  <c r="AI73" i="5"/>
  <c r="AH73" i="5"/>
  <c r="AI555" i="5"/>
  <c r="AH555" i="5"/>
  <c r="AH348" i="5"/>
  <c r="AI348" i="5"/>
  <c r="AH144" i="5"/>
  <c r="AI144" i="5"/>
  <c r="AI441" i="5"/>
  <c r="AH441" i="5"/>
  <c r="AI71" i="5"/>
  <c r="AH71" i="5"/>
  <c r="AI46" i="5"/>
  <c r="AH46" i="5"/>
  <c r="AH383" i="5"/>
  <c r="AI383" i="5"/>
  <c r="AH266" i="5"/>
  <c r="AI266" i="5"/>
  <c r="AI360" i="5"/>
  <c r="AH360" i="5"/>
  <c r="AI219" i="5"/>
  <c r="AH219" i="5"/>
  <c r="AH377" i="5"/>
  <c r="AI377" i="5"/>
  <c r="AH22" i="5"/>
  <c r="AI22" i="5"/>
  <c r="AH170" i="5"/>
  <c r="AI170" i="5"/>
  <c r="AH94" i="5"/>
  <c r="AI94" i="5"/>
  <c r="AI89" i="5"/>
  <c r="AH89" i="5"/>
  <c r="AI84" i="5"/>
  <c r="AH84" i="5"/>
  <c r="AH29" i="5"/>
  <c r="AI29" i="5"/>
  <c r="AI165" i="5"/>
  <c r="AH165" i="5"/>
  <c r="AH463" i="5"/>
  <c r="AI463" i="5"/>
  <c r="AH324" i="5"/>
  <c r="AI324" i="5"/>
  <c r="AI181" i="5"/>
  <c r="AH181" i="5"/>
  <c r="AH12" i="4"/>
  <c r="AE12" i="4"/>
  <c r="Z12" i="4"/>
  <c r="X12" i="4" s="1"/>
  <c r="AJ12" i="4" s="1"/>
  <c r="AH71" i="4"/>
  <c r="Z71" i="4"/>
  <c r="AE71" i="4"/>
  <c r="AA71" i="4"/>
  <c r="AE49" i="4"/>
  <c r="Z49" i="4"/>
  <c r="AH49" i="4"/>
  <c r="Z157" i="4"/>
  <c r="AN157" i="4" s="1"/>
  <c r="AH157" i="4"/>
  <c r="AE157" i="4"/>
  <c r="AA157" i="4"/>
  <c r="AH155" i="4"/>
  <c r="AE155" i="4"/>
  <c r="AH73" i="4"/>
  <c r="AE73" i="4"/>
  <c r="AH152" i="4"/>
  <c r="AE152" i="4"/>
  <c r="AE124" i="4"/>
  <c r="AH124" i="4"/>
  <c r="AH26" i="4"/>
  <c r="AE26" i="4"/>
  <c r="Z26" i="4"/>
  <c r="AE110" i="4"/>
  <c r="AH110" i="4"/>
  <c r="AH123" i="4"/>
  <c r="AE123" i="4"/>
  <c r="AE60" i="4"/>
  <c r="AH60" i="4"/>
  <c r="AE58" i="4"/>
  <c r="AH58" i="4"/>
  <c r="AE153" i="4"/>
  <c r="AA153" i="4"/>
  <c r="Z153" i="4"/>
  <c r="AH153" i="4"/>
  <c r="AE149" i="4"/>
  <c r="AH149" i="4"/>
  <c r="AH66" i="4"/>
  <c r="AE66" i="4"/>
  <c r="AH23" i="4"/>
  <c r="AE23" i="4"/>
  <c r="Z23" i="4"/>
  <c r="X23" i="4" s="1"/>
  <c r="AJ23" i="4" s="1"/>
  <c r="AE112" i="4"/>
  <c r="AH112" i="4"/>
  <c r="AH131" i="4"/>
  <c r="AE131" i="4"/>
  <c r="AE36" i="4"/>
  <c r="Z36" i="4"/>
  <c r="AH36" i="4"/>
  <c r="AH14" i="4"/>
  <c r="AE14" i="4"/>
  <c r="Z14" i="4"/>
  <c r="X14" i="4" s="1"/>
  <c r="AJ14" i="4" s="1"/>
  <c r="AE42" i="4"/>
  <c r="AH42" i="4"/>
  <c r="Z42" i="4"/>
  <c r="AE32" i="4"/>
  <c r="Z32" i="4"/>
  <c r="AH32" i="4"/>
  <c r="AE72" i="4"/>
  <c r="AH72" i="4"/>
  <c r="Z72" i="4"/>
  <c r="AA72" i="4"/>
  <c r="AH116" i="4"/>
  <c r="AE116" i="4"/>
  <c r="AQ128" i="5"/>
  <c r="AR128" i="5"/>
  <c r="BI128" i="5"/>
  <c r="AP267" i="5"/>
  <c r="AP148" i="5"/>
  <c r="AP452" i="5"/>
  <c r="AP33" i="5"/>
  <c r="AP497" i="5"/>
  <c r="AP9" i="5"/>
  <c r="AH67" i="4"/>
  <c r="AE67" i="4"/>
  <c r="AH31" i="4"/>
  <c r="Z31" i="4"/>
  <c r="X31" i="4" s="1"/>
  <c r="AE31" i="4"/>
  <c r="AH145" i="4"/>
  <c r="AE145" i="4"/>
  <c r="AE93" i="4"/>
  <c r="AH93" i="4"/>
  <c r="AH59" i="4"/>
  <c r="AE59" i="4"/>
  <c r="AE94" i="4"/>
  <c r="AH94" i="4"/>
  <c r="AH121" i="4"/>
  <c r="AE121" i="4"/>
  <c r="AE126" i="4"/>
  <c r="AH126" i="4"/>
  <c r="AE74" i="4"/>
  <c r="AH74" i="4"/>
  <c r="AE83" i="4"/>
  <c r="Z83" i="4"/>
  <c r="AA83" i="4"/>
  <c r="AH83" i="4"/>
  <c r="AH79" i="4"/>
  <c r="AE79" i="4"/>
  <c r="AX9" i="5"/>
  <c r="AY9" i="5"/>
  <c r="AO560" i="5"/>
  <c r="AN560" i="5"/>
  <c r="AO451" i="5"/>
  <c r="AN451" i="5"/>
  <c r="AN274" i="5"/>
  <c r="AO274" i="5"/>
  <c r="AO190" i="5"/>
  <c r="AN190" i="5"/>
  <c r="AO377" i="5"/>
  <c r="AN377" i="5"/>
  <c r="AO308" i="5"/>
  <c r="AN308" i="5"/>
  <c r="AN222" i="5"/>
  <c r="AO222" i="5"/>
  <c r="AO412" i="5"/>
  <c r="AN412" i="5"/>
  <c r="AO375" i="5"/>
  <c r="AN375" i="5"/>
  <c r="AN494" i="5"/>
  <c r="AO494" i="5"/>
  <c r="AO140" i="5"/>
  <c r="AN140" i="5"/>
  <c r="AO329" i="5"/>
  <c r="AN329" i="5"/>
  <c r="AO241" i="5"/>
  <c r="AN241" i="5"/>
  <c r="AO474" i="5"/>
  <c r="AN474" i="5"/>
  <c r="AO38" i="5"/>
  <c r="AN38" i="5"/>
  <c r="AN28" i="5"/>
  <c r="AO28" i="5"/>
  <c r="AN295" i="5"/>
  <c r="AO295" i="5"/>
  <c r="AO450" i="5"/>
  <c r="AN450" i="5"/>
  <c r="AO193" i="5"/>
  <c r="AN193" i="5"/>
  <c r="AN275" i="5"/>
  <c r="AO275" i="5"/>
  <c r="AN160" i="5"/>
  <c r="AO160" i="5"/>
  <c r="AO353" i="5"/>
  <c r="AN353" i="5"/>
  <c r="AN178" i="5"/>
  <c r="AO178" i="5"/>
  <c r="AO454" i="5"/>
  <c r="AN454" i="5"/>
  <c r="AO432" i="5"/>
  <c r="AN432" i="5"/>
  <c r="AN153" i="5"/>
  <c r="AO153" i="5"/>
  <c r="AO225" i="5"/>
  <c r="AN225" i="5"/>
  <c r="AN189" i="5"/>
  <c r="AO189" i="5"/>
  <c r="AO535" i="5"/>
  <c r="AN535" i="5"/>
  <c r="AN438" i="5"/>
  <c r="AO438" i="5"/>
  <c r="AO358" i="5"/>
  <c r="AN358" i="5"/>
  <c r="AO515" i="5"/>
  <c r="AN515" i="5"/>
  <c r="AN413" i="5"/>
  <c r="AO413" i="5"/>
  <c r="AO244" i="5"/>
  <c r="AN244" i="5"/>
  <c r="AN196" i="5"/>
  <c r="AO196" i="5"/>
  <c r="AN170" i="5"/>
  <c r="AO170" i="5"/>
  <c r="AO108" i="5"/>
  <c r="AN108" i="5"/>
  <c r="AO144" i="5"/>
  <c r="AN144" i="5"/>
  <c r="AO325" i="5"/>
  <c r="AN325" i="5"/>
  <c r="AO536" i="5"/>
  <c r="AN536" i="5"/>
  <c r="AN107" i="5"/>
  <c r="AO107" i="5"/>
  <c r="AO383" i="5"/>
  <c r="AN383" i="5"/>
  <c r="AO387" i="5"/>
  <c r="AN387" i="5"/>
  <c r="AN327" i="5"/>
  <c r="AO327" i="5"/>
  <c r="AN105" i="5"/>
  <c r="AO105" i="5"/>
  <c r="AO26" i="5"/>
  <c r="AN26" i="5"/>
  <c r="AN517" i="5"/>
  <c r="AO517" i="5"/>
  <c r="AO236" i="5"/>
  <c r="AN236" i="5"/>
  <c r="AO548" i="5"/>
  <c r="AN548" i="5"/>
  <c r="AN81" i="5"/>
  <c r="AO81" i="5"/>
  <c r="AN39" i="5"/>
  <c r="AO39" i="5"/>
  <c r="AO243" i="5"/>
  <c r="AN243" i="5"/>
  <c r="AO287" i="5"/>
  <c r="AN287" i="5"/>
  <c r="AN348" i="5"/>
  <c r="AO348" i="5"/>
  <c r="AO194" i="5"/>
  <c r="AN194" i="5"/>
  <c r="AO459" i="5"/>
  <c r="AN459" i="5"/>
  <c r="AO337" i="5"/>
  <c r="AN337" i="5"/>
  <c r="AO366" i="5"/>
  <c r="AN366" i="5"/>
  <c r="AN354" i="5"/>
  <c r="AO354" i="5"/>
  <c r="AO426" i="5"/>
  <c r="AN426" i="5"/>
  <c r="AO82" i="5"/>
  <c r="AN82" i="5"/>
  <c r="AO42" i="5"/>
  <c r="AN42" i="5"/>
  <c r="AO120" i="5"/>
  <c r="AN120" i="5"/>
  <c r="AN230" i="5"/>
  <c r="AO230" i="5"/>
  <c r="AO469" i="5"/>
  <c r="AN469" i="5"/>
  <c r="AO309" i="5"/>
  <c r="AN309" i="5"/>
  <c r="AO292" i="5"/>
  <c r="AN292" i="5"/>
  <c r="AN382" i="5"/>
  <c r="AO382" i="5"/>
  <c r="AO27" i="5"/>
  <c r="AN27" i="5"/>
  <c r="AO163" i="5"/>
  <c r="AN163" i="5"/>
  <c r="AO389" i="5"/>
  <c r="AN389" i="5"/>
  <c r="AN356" i="5"/>
  <c r="AO356" i="5"/>
  <c r="AN115" i="5"/>
  <c r="AO115" i="5"/>
  <c r="AN559" i="5"/>
  <c r="AO559" i="5"/>
  <c r="AN229" i="5"/>
  <c r="AO229" i="5"/>
  <c r="AO461" i="5"/>
  <c r="AN461" i="5"/>
  <c r="AN45" i="5"/>
  <c r="AO45" i="5"/>
  <c r="AN113" i="5"/>
  <c r="AO113" i="5"/>
  <c r="AO403" i="5"/>
  <c r="AN403" i="5"/>
  <c r="AN496" i="5"/>
  <c r="AO496" i="5"/>
  <c r="AO399" i="5"/>
  <c r="AN399" i="5"/>
  <c r="AO234" i="5"/>
  <c r="AN234" i="5"/>
  <c r="AO472" i="5"/>
  <c r="AN472" i="5"/>
  <c r="AN44" i="5"/>
  <c r="AO44" i="5"/>
  <c r="AN367" i="5"/>
  <c r="AO367" i="5"/>
  <c r="AN506" i="5"/>
  <c r="AO506" i="5"/>
  <c r="AN208" i="5"/>
  <c r="AO208" i="5"/>
  <c r="AN465" i="5"/>
  <c r="AO465" i="5"/>
  <c r="AO511" i="5"/>
  <c r="AN511" i="5"/>
  <c r="AO256" i="5"/>
  <c r="AN256" i="5"/>
  <c r="AN197" i="5"/>
  <c r="AO197" i="5"/>
  <c r="AO122" i="5"/>
  <c r="AN122" i="5"/>
  <c r="AN436" i="5"/>
  <c r="AO436" i="5"/>
  <c r="AO167" i="5"/>
  <c r="AN167" i="5"/>
  <c r="AN76" i="5"/>
  <c r="AO76" i="5"/>
  <c r="AO341" i="5"/>
  <c r="AN341" i="5"/>
  <c r="AN86" i="5"/>
  <c r="AO86" i="5"/>
  <c r="AO210" i="5"/>
  <c r="AN210" i="5"/>
  <c r="AN305" i="5"/>
  <c r="AO305" i="5"/>
  <c r="AO57" i="5"/>
  <c r="AN57" i="5"/>
  <c r="AN83" i="5"/>
  <c r="AO83" i="5"/>
  <c r="AO268" i="5"/>
  <c r="AN268" i="5"/>
  <c r="AO117" i="5"/>
  <c r="AN117" i="5"/>
  <c r="AN156" i="5"/>
  <c r="AO156" i="5"/>
  <c r="AN285" i="5"/>
  <c r="AO285" i="5"/>
  <c r="AN414" i="5"/>
  <c r="AO414" i="5"/>
  <c r="AO518" i="5"/>
  <c r="AN518" i="5"/>
  <c r="AN74" i="5"/>
  <c r="AO74" i="5"/>
  <c r="AN443" i="5"/>
  <c r="AO443" i="5"/>
  <c r="AN242" i="5"/>
  <c r="AO242" i="5"/>
  <c r="AO507" i="5"/>
  <c r="AN507" i="5"/>
  <c r="AO71" i="5"/>
  <c r="AN71" i="5"/>
  <c r="AN282" i="5"/>
  <c r="AO282" i="5"/>
  <c r="AO201" i="5"/>
  <c r="AN201" i="5"/>
  <c r="AN445" i="5"/>
  <c r="AO445" i="5"/>
  <c r="AN277" i="5"/>
  <c r="AO277" i="5"/>
  <c r="AN133" i="5"/>
  <c r="AO133" i="5"/>
  <c r="AO31" i="5"/>
  <c r="AN31" i="5"/>
  <c r="AO171" i="5"/>
  <c r="AN171" i="5"/>
  <c r="AN48" i="5"/>
  <c r="AO48" i="5"/>
  <c r="AN539" i="5"/>
  <c r="AO539" i="5"/>
  <c r="AO224" i="5"/>
  <c r="AN224" i="5"/>
  <c r="AN124" i="5"/>
  <c r="AO124" i="5"/>
  <c r="AN374" i="5"/>
  <c r="AO374" i="5"/>
  <c r="AO380" i="5"/>
  <c r="AN380" i="5"/>
  <c r="AO182" i="5"/>
  <c r="AN182" i="5"/>
  <c r="AN418" i="5"/>
  <c r="AO418" i="5"/>
  <c r="AN226" i="5"/>
  <c r="AO226" i="5"/>
  <c r="AO376" i="5"/>
  <c r="AN376" i="5"/>
  <c r="AN288" i="5"/>
  <c r="AO288" i="5"/>
  <c r="AN546" i="5"/>
  <c r="AO546" i="5"/>
  <c r="AN322" i="5"/>
  <c r="AO322" i="5"/>
  <c r="AN429" i="5"/>
  <c r="AO429" i="5"/>
  <c r="AN139" i="5"/>
  <c r="AO139" i="5"/>
  <c r="AN373" i="5"/>
  <c r="AO373" i="5"/>
  <c r="AO467" i="5"/>
  <c r="AN467" i="5"/>
  <c r="AO430" i="5"/>
  <c r="AN430" i="5"/>
  <c r="AH216" i="5"/>
  <c r="AI216" i="5"/>
  <c r="AH424" i="5"/>
  <c r="AI424" i="5"/>
  <c r="AH51" i="5"/>
  <c r="AI51" i="5"/>
  <c r="AH286" i="5"/>
  <c r="AI286" i="5"/>
  <c r="AI417" i="5"/>
  <c r="AH417" i="5"/>
  <c r="AI421" i="5"/>
  <c r="AH421" i="5"/>
  <c r="AH414" i="5"/>
  <c r="AI414" i="5"/>
  <c r="AH550" i="5"/>
  <c r="AI550" i="5"/>
  <c r="AI464" i="5"/>
  <c r="AH464" i="5"/>
  <c r="AH406" i="5"/>
  <c r="AI406" i="5"/>
  <c r="AH198" i="5"/>
  <c r="AI198" i="5"/>
  <c r="AI31" i="5"/>
  <c r="AH31" i="5"/>
  <c r="AH74" i="5"/>
  <c r="AI74" i="5"/>
  <c r="AI549" i="5"/>
  <c r="AH549" i="5"/>
  <c r="AI385" i="5"/>
  <c r="AH385" i="5"/>
  <c r="AI23" i="5"/>
  <c r="AH23" i="5"/>
  <c r="AI265" i="5"/>
  <c r="AH265" i="5"/>
  <c r="AH296" i="5"/>
  <c r="AI296" i="5"/>
  <c r="AH548" i="5"/>
  <c r="AI548" i="5"/>
  <c r="AH358" i="5"/>
  <c r="AI358" i="5"/>
  <c r="AH212" i="5"/>
  <c r="AI212" i="5"/>
  <c r="AI103" i="5"/>
  <c r="AH103" i="5"/>
  <c r="AH268" i="5"/>
  <c r="AI268" i="5"/>
  <c r="AH152" i="5"/>
  <c r="AI152" i="5"/>
  <c r="AH518" i="5"/>
  <c r="AI518" i="5"/>
  <c r="AI178" i="5"/>
  <c r="AH178" i="5"/>
  <c r="AH78" i="5"/>
  <c r="AI78" i="5"/>
  <c r="AI291" i="5"/>
  <c r="AH291" i="5"/>
  <c r="AH389" i="5"/>
  <c r="AI389" i="5"/>
  <c r="AH69" i="5"/>
  <c r="AI69" i="5"/>
  <c r="AH283" i="5"/>
  <c r="AI283" i="5"/>
  <c r="AI50" i="5"/>
  <c r="AH50" i="5"/>
  <c r="AI174" i="5"/>
  <c r="AH174" i="5"/>
  <c r="AH146" i="5"/>
  <c r="AI146" i="5"/>
  <c r="AI499" i="5"/>
  <c r="AH499" i="5"/>
  <c r="AI382" i="5"/>
  <c r="AH382" i="5"/>
  <c r="AI63" i="5"/>
  <c r="AH63" i="5"/>
  <c r="AH319" i="5"/>
  <c r="AI319" i="5"/>
  <c r="AI59" i="5"/>
  <c r="AH59" i="5"/>
  <c r="AH10" i="5"/>
  <c r="AI10" i="5"/>
  <c r="AI253" i="5"/>
  <c r="AH253" i="5"/>
  <c r="AI317" i="5"/>
  <c r="AH317" i="5"/>
  <c r="AI462" i="5"/>
  <c r="AH462" i="5"/>
  <c r="AI425" i="5"/>
  <c r="AH425" i="5"/>
  <c r="AI87" i="5"/>
  <c r="AH87" i="5"/>
  <c r="AI447" i="5"/>
  <c r="AH447" i="5"/>
  <c r="AI21" i="5"/>
  <c r="AH21" i="5"/>
  <c r="AH493" i="5"/>
  <c r="AI493" i="5"/>
  <c r="AH519" i="5"/>
  <c r="AI519" i="5"/>
  <c r="AI43" i="5"/>
  <c r="AH43" i="5"/>
  <c r="AH36" i="5"/>
  <c r="AI36" i="5"/>
  <c r="AI239" i="5"/>
  <c r="AH239" i="5"/>
  <c r="AI233" i="5"/>
  <c r="AH233" i="5"/>
  <c r="AH405" i="5"/>
  <c r="AI405" i="5"/>
  <c r="AH48" i="5"/>
  <c r="AI48" i="5"/>
  <c r="AH136" i="5"/>
  <c r="AI136" i="5"/>
  <c r="AH208" i="5"/>
  <c r="AI208" i="5"/>
  <c r="AH82" i="5"/>
  <c r="AI82" i="5"/>
  <c r="AH354" i="5"/>
  <c r="AI354" i="5"/>
  <c r="AH259" i="5"/>
  <c r="AI259" i="5"/>
  <c r="AH34" i="5"/>
  <c r="AI34" i="5"/>
  <c r="AH292" i="5"/>
  <c r="AI292" i="5"/>
  <c r="AH439" i="5"/>
  <c r="AI439" i="5"/>
  <c r="AH189" i="5"/>
  <c r="AI189" i="5"/>
  <c r="AI560" i="5"/>
  <c r="AH560" i="5"/>
  <c r="AI230" i="5"/>
  <c r="AH230" i="5"/>
  <c r="AH121" i="5"/>
  <c r="AI121" i="5"/>
  <c r="AH541" i="5"/>
  <c r="AI541" i="5"/>
  <c r="AI408" i="5"/>
  <c r="AH408" i="5"/>
  <c r="AH330" i="5"/>
  <c r="AI330" i="5"/>
  <c r="AH41" i="5"/>
  <c r="AI41" i="5"/>
  <c r="AI391" i="5"/>
  <c r="AH391" i="5"/>
  <c r="AH244" i="5"/>
  <c r="AI244" i="5"/>
  <c r="AI166" i="5"/>
  <c r="AH166" i="5"/>
  <c r="AI282" i="5"/>
  <c r="AH282" i="5"/>
  <c r="AI100" i="5"/>
  <c r="AH100" i="5"/>
  <c r="AI221" i="5"/>
  <c r="AH221" i="5"/>
  <c r="AH433" i="5"/>
  <c r="AI433" i="5"/>
  <c r="AI273" i="5"/>
  <c r="AH273" i="5"/>
  <c r="AH278" i="5"/>
  <c r="AI278" i="5"/>
  <c r="AI177" i="5"/>
  <c r="AH177" i="5"/>
  <c r="AI285" i="5"/>
  <c r="AH285" i="5"/>
  <c r="AI465" i="5"/>
  <c r="AH465" i="5"/>
  <c r="AH306" i="5"/>
  <c r="AI306" i="5"/>
  <c r="AI372" i="5"/>
  <c r="AH372" i="5"/>
  <c r="AI399" i="5"/>
  <c r="AH399" i="5"/>
  <c r="AH318" i="5"/>
  <c r="AI318" i="5"/>
  <c r="AH106" i="5"/>
  <c r="AI106" i="5"/>
  <c r="AH478" i="5"/>
  <c r="AI478" i="5"/>
  <c r="AH466" i="5"/>
  <c r="AI466" i="5"/>
  <c r="AH434" i="5"/>
  <c r="AI434" i="5"/>
  <c r="AH556" i="5"/>
  <c r="AI556" i="5"/>
  <c r="AI394" i="5"/>
  <c r="AH394" i="5"/>
  <c r="AI235" i="5"/>
  <c r="AH235" i="5"/>
  <c r="AH445" i="5"/>
  <c r="AI445" i="5"/>
  <c r="AH476" i="5"/>
  <c r="AI476" i="5"/>
  <c r="AI80" i="5"/>
  <c r="AH80" i="5"/>
  <c r="AH498" i="5"/>
  <c r="AI498" i="5"/>
  <c r="AI105" i="5"/>
  <c r="AH105" i="5"/>
  <c r="AI241" i="5"/>
  <c r="AH241" i="5"/>
  <c r="AI131" i="5"/>
  <c r="AH131" i="5"/>
  <c r="AI42" i="5"/>
  <c r="AH42" i="5"/>
  <c r="AI412" i="5"/>
  <c r="AH412" i="5"/>
  <c r="AI303" i="5"/>
  <c r="AH303" i="5"/>
  <c r="AI453" i="5"/>
  <c r="AH453" i="5"/>
  <c r="AI365" i="5"/>
  <c r="AH365" i="5"/>
  <c r="AH336" i="5"/>
  <c r="AI336" i="5"/>
  <c r="AI437" i="5"/>
  <c r="AH437" i="5"/>
  <c r="AH224" i="5"/>
  <c r="AI224" i="5"/>
  <c r="AH187" i="5"/>
  <c r="AI187" i="5"/>
  <c r="AH361" i="5"/>
  <c r="AI361" i="5"/>
  <c r="AI290" i="5"/>
  <c r="AH290" i="5"/>
  <c r="AI467" i="5"/>
  <c r="AH467" i="5"/>
  <c r="AH504" i="5"/>
  <c r="AI504" i="5"/>
  <c r="AH521" i="5"/>
  <c r="AI521" i="5"/>
  <c r="AI344" i="5"/>
  <c r="AH344" i="5"/>
  <c r="AH407" i="5"/>
  <c r="AI407" i="5"/>
  <c r="AH506" i="5"/>
  <c r="AI506" i="5"/>
  <c r="AH331" i="5"/>
  <c r="AI331" i="5"/>
  <c r="AH81" i="5"/>
  <c r="AI81" i="5"/>
  <c r="AH510" i="5"/>
  <c r="AI510" i="5"/>
  <c r="AH364" i="5"/>
  <c r="AI364" i="5"/>
  <c r="AI269" i="5"/>
  <c r="AH269" i="5"/>
  <c r="AH143" i="5"/>
  <c r="AI143" i="5"/>
  <c r="AI355" i="5"/>
  <c r="AH355" i="5"/>
  <c r="AH66" i="5"/>
  <c r="AI66" i="5"/>
  <c r="AI378" i="5"/>
  <c r="AH378" i="5"/>
  <c r="AH321" i="5"/>
  <c r="AI321" i="5"/>
  <c r="AI483" i="5"/>
  <c r="AH483" i="5"/>
  <c r="AH274" i="5"/>
  <c r="AI274" i="5"/>
  <c r="AI213" i="5"/>
  <c r="AH213" i="5"/>
  <c r="AI298" i="5"/>
  <c r="AH298" i="5"/>
  <c r="AI192" i="5"/>
  <c r="AH192" i="5"/>
  <c r="AH164" i="5"/>
  <c r="AI164" i="5"/>
  <c r="AI158" i="5"/>
  <c r="AH158" i="5"/>
  <c r="AH367" i="5"/>
  <c r="AI367" i="5"/>
  <c r="AI393" i="5"/>
  <c r="AH393" i="5"/>
  <c r="AE101" i="4"/>
  <c r="AH101" i="4"/>
  <c r="AH7" i="4"/>
  <c r="AE7" i="4"/>
  <c r="Z7" i="4"/>
  <c r="X7" i="4" s="1"/>
  <c r="AJ7" i="4" s="1"/>
  <c r="AO9" i="5"/>
  <c r="AN9" i="5"/>
  <c r="AA9" i="5"/>
  <c r="AB9" i="5"/>
  <c r="U9" i="5"/>
  <c r="V9" i="5"/>
  <c r="AO78" i="5"/>
  <c r="AN78" i="5"/>
  <c r="AO551" i="5"/>
  <c r="AN551" i="5"/>
  <c r="AN251" i="5"/>
  <c r="AO251" i="5"/>
  <c r="AN104" i="5"/>
  <c r="AO104" i="5"/>
  <c r="AN355" i="5"/>
  <c r="AO355" i="5"/>
  <c r="AO162" i="5"/>
  <c r="AN162" i="5"/>
  <c r="AO200" i="5"/>
  <c r="AN200" i="5"/>
  <c r="AN30" i="5"/>
  <c r="AO30" i="5"/>
  <c r="AO62" i="5"/>
  <c r="AN62" i="5"/>
  <c r="AO41" i="5"/>
  <c r="AN41" i="5"/>
  <c r="AO452" i="5"/>
  <c r="AN452" i="5"/>
  <c r="AO265" i="5"/>
  <c r="AN265" i="5"/>
  <c r="AN143" i="5"/>
  <c r="AO143" i="5"/>
  <c r="AO72" i="5"/>
  <c r="AN72" i="5"/>
  <c r="AO164" i="5"/>
  <c r="AN164" i="5"/>
  <c r="AO152" i="5"/>
  <c r="AN152" i="5"/>
  <c r="AO312" i="5"/>
  <c r="AN312" i="5"/>
  <c r="AO448" i="5"/>
  <c r="AN448" i="5"/>
  <c r="AN479" i="5"/>
  <c r="AO479" i="5"/>
  <c r="AN276" i="5"/>
  <c r="AO276" i="5"/>
  <c r="AN425" i="5"/>
  <c r="AO425" i="5"/>
  <c r="AO313" i="5"/>
  <c r="AN313" i="5"/>
  <c r="AO195" i="5"/>
  <c r="AN195" i="5"/>
  <c r="AO69" i="5"/>
  <c r="AN69" i="5"/>
  <c r="AN281" i="5"/>
  <c r="AO281" i="5"/>
  <c r="AO326" i="5"/>
  <c r="AN326" i="5"/>
  <c r="AN301" i="5"/>
  <c r="AO301" i="5"/>
  <c r="AO98" i="5"/>
  <c r="AN98" i="5"/>
  <c r="AN311" i="5"/>
  <c r="AO311" i="5"/>
  <c r="AN547" i="5"/>
  <c r="AO547" i="5"/>
  <c r="AO402" i="5"/>
  <c r="AN402" i="5"/>
  <c r="AN334" i="5"/>
  <c r="AO334" i="5"/>
  <c r="AN318" i="5"/>
  <c r="AO318" i="5"/>
  <c r="AO290" i="5"/>
  <c r="AN290" i="5"/>
  <c r="AN552" i="5"/>
  <c r="AO552" i="5"/>
  <c r="AO249" i="5"/>
  <c r="AN249" i="5"/>
  <c r="AO530" i="5"/>
  <c r="AN530" i="5"/>
  <c r="AO362" i="5"/>
  <c r="AN362" i="5"/>
  <c r="AN439" i="5"/>
  <c r="AO439" i="5"/>
  <c r="AO36" i="5"/>
  <c r="AN36" i="5"/>
  <c r="AN169" i="5"/>
  <c r="AO169" i="5"/>
  <c r="AN145" i="5"/>
  <c r="AO145" i="5"/>
  <c r="AN556" i="5"/>
  <c r="AO556" i="5"/>
  <c r="AN264" i="5"/>
  <c r="AO264" i="5"/>
  <c r="AO297" i="5"/>
  <c r="AN297" i="5"/>
  <c r="AO85" i="5"/>
  <c r="AN85" i="5"/>
  <c r="AO456" i="5"/>
  <c r="AN456" i="5"/>
  <c r="AO434" i="5"/>
  <c r="AN434" i="5"/>
  <c r="AO342" i="5"/>
  <c r="AN342" i="5"/>
  <c r="AO437" i="5"/>
  <c r="AN437" i="5"/>
  <c r="AO110" i="5"/>
  <c r="AN110" i="5"/>
  <c r="AO369" i="5"/>
  <c r="AN369" i="5"/>
  <c r="AO299" i="5"/>
  <c r="AN299" i="5"/>
  <c r="AO228" i="5"/>
  <c r="AN228" i="5"/>
  <c r="AO324" i="5"/>
  <c r="AN324" i="5"/>
  <c r="AN32" i="5"/>
  <c r="AO32" i="5"/>
  <c r="AO155" i="5"/>
  <c r="AN155" i="5"/>
  <c r="AN116" i="5"/>
  <c r="AO116" i="5"/>
  <c r="AN125" i="5"/>
  <c r="AO125" i="5"/>
  <c r="AO56" i="5"/>
  <c r="AN56" i="5"/>
  <c r="AN146" i="5"/>
  <c r="AO146" i="5"/>
  <c r="AN136" i="5"/>
  <c r="AO136" i="5"/>
  <c r="AN179" i="5"/>
  <c r="AO179" i="5"/>
  <c r="AO340" i="5"/>
  <c r="AN340" i="5"/>
  <c r="AN66" i="5"/>
  <c r="AO66" i="5"/>
  <c r="AN455" i="5"/>
  <c r="AO455" i="5"/>
  <c r="AN283" i="5"/>
  <c r="AO283" i="5"/>
  <c r="AO320" i="5"/>
  <c r="AN320" i="5"/>
  <c r="AN343" i="5"/>
  <c r="AO343" i="5"/>
  <c r="AN335" i="5"/>
  <c r="AO335" i="5"/>
  <c r="AN90" i="5"/>
  <c r="AO90" i="5"/>
  <c r="AO510" i="5"/>
  <c r="AN510" i="5"/>
  <c r="AO158" i="5"/>
  <c r="AN158" i="5"/>
  <c r="AN352" i="5"/>
  <c r="AO352" i="5"/>
  <c r="AN554" i="5"/>
  <c r="AO554" i="5"/>
  <c r="AN338" i="5"/>
  <c r="AO338" i="5"/>
  <c r="AO475" i="5"/>
  <c r="AN475" i="5"/>
  <c r="AO247" i="5"/>
  <c r="AN247" i="5"/>
  <c r="AO505" i="5"/>
  <c r="AN505" i="5"/>
  <c r="AO203" i="5"/>
  <c r="AN203" i="5"/>
  <c r="AN460" i="5"/>
  <c r="AO460" i="5"/>
  <c r="AO384" i="5"/>
  <c r="AN384" i="5"/>
  <c r="AN468" i="5"/>
  <c r="AO468" i="5"/>
  <c r="AO492" i="5"/>
  <c r="AN492" i="5"/>
  <c r="AN470" i="5"/>
  <c r="AO470" i="5"/>
  <c r="AN300" i="5"/>
  <c r="AO300" i="5"/>
  <c r="AN532" i="5"/>
  <c r="AO532" i="5"/>
  <c r="AN498" i="5"/>
  <c r="AO498" i="5"/>
  <c r="AN527" i="5"/>
  <c r="AO527" i="5"/>
  <c r="AN360" i="5"/>
  <c r="AO360" i="5"/>
  <c r="AO185" i="5"/>
  <c r="AN185" i="5"/>
  <c r="AO180" i="5"/>
  <c r="AN180" i="5"/>
  <c r="AO422" i="5"/>
  <c r="AN422" i="5"/>
  <c r="AN103" i="5"/>
  <c r="AO103" i="5"/>
  <c r="AO331" i="5"/>
  <c r="AN331" i="5"/>
  <c r="AO93" i="5"/>
  <c r="AN93" i="5"/>
  <c r="AN199" i="5"/>
  <c r="AO199" i="5"/>
  <c r="AN407" i="5"/>
  <c r="AO407" i="5"/>
  <c r="AO435" i="5"/>
  <c r="AN435" i="5"/>
  <c r="AN24" i="5"/>
  <c r="AO24" i="5"/>
  <c r="AN520" i="5"/>
  <c r="AO520" i="5"/>
  <c r="AN218" i="5"/>
  <c r="AO218" i="5"/>
  <c r="AN323" i="5"/>
  <c r="AO323" i="5"/>
  <c r="AN388" i="5"/>
  <c r="AO388" i="5"/>
  <c r="AO392" i="5"/>
  <c r="AN392" i="5"/>
  <c r="AN168" i="5"/>
  <c r="AO168" i="5"/>
  <c r="AO549" i="5"/>
  <c r="AN549" i="5"/>
  <c r="AO466" i="5"/>
  <c r="AN466" i="5"/>
  <c r="AO205" i="5"/>
  <c r="AN205" i="5"/>
  <c r="AO501" i="5"/>
  <c r="AN501" i="5"/>
  <c r="AN70" i="5"/>
  <c r="AO70" i="5"/>
  <c r="AO126" i="5"/>
  <c r="AN126" i="5"/>
  <c r="AN296" i="5"/>
  <c r="AO296" i="5"/>
  <c r="AN381" i="5"/>
  <c r="AO381" i="5"/>
  <c r="AO315" i="5"/>
  <c r="AN315" i="5"/>
  <c r="AO191" i="5"/>
  <c r="AN191" i="5"/>
  <c r="AN96" i="5"/>
  <c r="AO96" i="5"/>
  <c r="AO147" i="5"/>
  <c r="AN147" i="5"/>
  <c r="AN204" i="5"/>
  <c r="AO204" i="5"/>
  <c r="AN142" i="5"/>
  <c r="AO142" i="5"/>
  <c r="AN269" i="5"/>
  <c r="AO269" i="5"/>
  <c r="AO487" i="5"/>
  <c r="AN487" i="5"/>
  <c r="AN350" i="5"/>
  <c r="AO350" i="5"/>
  <c r="AO405" i="5"/>
  <c r="AN405" i="5"/>
  <c r="AN278" i="5"/>
  <c r="AO278" i="5"/>
  <c r="AO51" i="5"/>
  <c r="AN51" i="5"/>
  <c r="AO364" i="5"/>
  <c r="AN364" i="5"/>
  <c r="AN307" i="5"/>
  <c r="AO307" i="5"/>
  <c r="AN321" i="5"/>
  <c r="AO321" i="5"/>
  <c r="AO298" i="5"/>
  <c r="AN298" i="5"/>
  <c r="AO221" i="5"/>
  <c r="AN221" i="5"/>
  <c r="AO212" i="5"/>
  <c r="AN212" i="5"/>
  <c r="AN40" i="5"/>
  <c r="AO40" i="5"/>
  <c r="AO235" i="5"/>
  <c r="AN235" i="5"/>
  <c r="AN280" i="5"/>
  <c r="AO280" i="5"/>
  <c r="AN232" i="5"/>
  <c r="AO232" i="5"/>
  <c r="AH218" i="5"/>
  <c r="AI218" i="5"/>
  <c r="AI343" i="5"/>
  <c r="AH343" i="5"/>
  <c r="AI299" i="5"/>
  <c r="AH299" i="5"/>
  <c r="AH398" i="5"/>
  <c r="AI398" i="5"/>
  <c r="AI423" i="5"/>
  <c r="AH423" i="5"/>
  <c r="AI480" i="5"/>
  <c r="AH480" i="5"/>
  <c r="AI288" i="5"/>
  <c r="AH288" i="5"/>
  <c r="AI326" i="5"/>
  <c r="AH326" i="5"/>
  <c r="AH376" i="5"/>
  <c r="AI376" i="5"/>
  <c r="AI551" i="5"/>
  <c r="AH551" i="5"/>
  <c r="AI454" i="5"/>
  <c r="AH454" i="5"/>
  <c r="AI479" i="5"/>
  <c r="AH479" i="5"/>
  <c r="AH83" i="5"/>
  <c r="AI83" i="5"/>
  <c r="AH210" i="5"/>
  <c r="AI210" i="5"/>
  <c r="AI297" i="5"/>
  <c r="AH297" i="5"/>
  <c r="AI217" i="5"/>
  <c r="AH217" i="5"/>
  <c r="AH38" i="5"/>
  <c r="AI38" i="5"/>
  <c r="AI127" i="5"/>
  <c r="AH127" i="5"/>
  <c r="AI522" i="5"/>
  <c r="AH522" i="5"/>
  <c r="AI234" i="5"/>
  <c r="AH234" i="5"/>
  <c r="AI488" i="5"/>
  <c r="AH488" i="5"/>
  <c r="AI323" i="5"/>
  <c r="AH323" i="5"/>
  <c r="AH118" i="5"/>
  <c r="AI118" i="5"/>
  <c r="AH153" i="5"/>
  <c r="AI153" i="5"/>
  <c r="AI539" i="5"/>
  <c r="AH539" i="5"/>
  <c r="AI200" i="5"/>
  <c r="AH200" i="5"/>
  <c r="AI167" i="5"/>
  <c r="AH167" i="5"/>
  <c r="AI222" i="5"/>
  <c r="AH222" i="5"/>
  <c r="AI333" i="5"/>
  <c r="AH333" i="5"/>
  <c r="AI156" i="5"/>
  <c r="AH156" i="5"/>
  <c r="AH231" i="5"/>
  <c r="AI231" i="5"/>
  <c r="AH473" i="5"/>
  <c r="AI473" i="5"/>
  <c r="AI443" i="5"/>
  <c r="AH443" i="5"/>
  <c r="AI313" i="5"/>
  <c r="AH313" i="5"/>
  <c r="AH312" i="5"/>
  <c r="AI312" i="5"/>
  <c r="AI151" i="5"/>
  <c r="AH151" i="5"/>
  <c r="AH419" i="5"/>
  <c r="AI419" i="5"/>
  <c r="AH175" i="5"/>
  <c r="AI175" i="5"/>
  <c r="AH209" i="5"/>
  <c r="AI209" i="5"/>
  <c r="AH141" i="5"/>
  <c r="AI141" i="5"/>
  <c r="AI486" i="5"/>
  <c r="AH486" i="5"/>
  <c r="AH128" i="5"/>
  <c r="AI128" i="5"/>
  <c r="AH557" i="5"/>
  <c r="AI557" i="5"/>
  <c r="AI359" i="5"/>
  <c r="AH359" i="5"/>
  <c r="AH520" i="5"/>
  <c r="AI520" i="5"/>
  <c r="AI240" i="5"/>
  <c r="AH240" i="5"/>
  <c r="AI435" i="5"/>
  <c r="AH435" i="5"/>
  <c r="AI490" i="5"/>
  <c r="AH490" i="5"/>
  <c r="AH469" i="5"/>
  <c r="AI469" i="5"/>
  <c r="AI432" i="5"/>
  <c r="AH432" i="5"/>
  <c r="AI92" i="5"/>
  <c r="AH92" i="5"/>
  <c r="AH67" i="5"/>
  <c r="AI67" i="5"/>
  <c r="AH58" i="5"/>
  <c r="AI58" i="5"/>
  <c r="AH257" i="5"/>
  <c r="AI257" i="5"/>
  <c r="AI62" i="5"/>
  <c r="AH62" i="5"/>
  <c r="AI272" i="5"/>
  <c r="AH272" i="5"/>
  <c r="AI456" i="5"/>
  <c r="AH456" i="5"/>
  <c r="AI307" i="5"/>
  <c r="AH307" i="5"/>
  <c r="AH26" i="5"/>
  <c r="AI26" i="5"/>
  <c r="AI339" i="5"/>
  <c r="AH339" i="5"/>
  <c r="AI397" i="5"/>
  <c r="AH397" i="5"/>
  <c r="AI119" i="5"/>
  <c r="AH119" i="5"/>
  <c r="AI380" i="5"/>
  <c r="AH380" i="5"/>
  <c r="AI293" i="5"/>
  <c r="AH293" i="5"/>
  <c r="AH287" i="5"/>
  <c r="AI287" i="5"/>
  <c r="AI289" i="5"/>
  <c r="AH289" i="5"/>
  <c r="AH64" i="5"/>
  <c r="AI64" i="5"/>
  <c r="AH554" i="5"/>
  <c r="AI554" i="5"/>
  <c r="AH470" i="5"/>
  <c r="AI470" i="5"/>
  <c r="AH206" i="5"/>
  <c r="AI206" i="5"/>
  <c r="AI132" i="5"/>
  <c r="AH132" i="5"/>
  <c r="AI196" i="5"/>
  <c r="AH196" i="5"/>
  <c r="AH114" i="5"/>
  <c r="AI114" i="5"/>
  <c r="AH203" i="5"/>
  <c r="AI203" i="5"/>
  <c r="AI426" i="5"/>
  <c r="AH426" i="5"/>
  <c r="AH228" i="5"/>
  <c r="AI228" i="5"/>
  <c r="AI370" i="5"/>
  <c r="AH370" i="5"/>
  <c r="AH53" i="5"/>
  <c r="AI53" i="5"/>
  <c r="AI507" i="5"/>
  <c r="AH507" i="5"/>
  <c r="AI438" i="5"/>
  <c r="AH438" i="5"/>
  <c r="AI440" i="5"/>
  <c r="AH440" i="5"/>
  <c r="AI535" i="5"/>
  <c r="AH535" i="5"/>
  <c r="AI147" i="5"/>
  <c r="AH147" i="5"/>
  <c r="AI310" i="5"/>
  <c r="AH310" i="5"/>
  <c r="AH20" i="5"/>
  <c r="AI20" i="5"/>
  <c r="AH138" i="5"/>
  <c r="AI138" i="5"/>
  <c r="AH379" i="5"/>
  <c r="AI379" i="5"/>
  <c r="AI404" i="5"/>
  <c r="AH404" i="5"/>
  <c r="AH350" i="5"/>
  <c r="AI350" i="5"/>
  <c r="AH140" i="5"/>
  <c r="AI140" i="5"/>
  <c r="AI160" i="5"/>
  <c r="AH160" i="5"/>
  <c r="AH388" i="5"/>
  <c r="AI388" i="5"/>
  <c r="AH315" i="5"/>
  <c r="AI315" i="5"/>
  <c r="AH517" i="5"/>
  <c r="AI517" i="5"/>
  <c r="AI39" i="5"/>
  <c r="AH39" i="5"/>
  <c r="AH512" i="5"/>
  <c r="AI512" i="5"/>
  <c r="AH442" i="5"/>
  <c r="AI442" i="5"/>
  <c r="AI27" i="5"/>
  <c r="AH27" i="5"/>
  <c r="AH371" i="5"/>
  <c r="AI371" i="5"/>
  <c r="AI444" i="5"/>
  <c r="AH444" i="5"/>
  <c r="AH341" i="5"/>
  <c r="AI341" i="5"/>
  <c r="AH85" i="5"/>
  <c r="AI85" i="5"/>
  <c r="AI402" i="5"/>
  <c r="AH402" i="5"/>
  <c r="AI215" i="5"/>
  <c r="AH215" i="5"/>
  <c r="AI515" i="5"/>
  <c r="AH515" i="5"/>
  <c r="AI526" i="5"/>
  <c r="AH526" i="5"/>
  <c r="AH534" i="5"/>
  <c r="AI534" i="5"/>
  <c r="AH40" i="5"/>
  <c r="AI40" i="5"/>
  <c r="AI173" i="5"/>
  <c r="AH173" i="5"/>
  <c r="AH52" i="5"/>
  <c r="AI52" i="5"/>
  <c r="AI226" i="5"/>
  <c r="AH226" i="5"/>
  <c r="AH267" i="5"/>
  <c r="AI267" i="5"/>
  <c r="AI420" i="5"/>
  <c r="AH420" i="5"/>
  <c r="AH502" i="5"/>
  <c r="AI502" i="5"/>
  <c r="AI163" i="5"/>
  <c r="AH163" i="5"/>
  <c r="AI54" i="5"/>
  <c r="AH54" i="5"/>
  <c r="AI415" i="5"/>
  <c r="AH415" i="5"/>
  <c r="AH261" i="5"/>
  <c r="AI261" i="5"/>
  <c r="AI458" i="5"/>
  <c r="AH458" i="5"/>
  <c r="AI459" i="5"/>
  <c r="AH459" i="5"/>
  <c r="AH199" i="5"/>
  <c r="AI199" i="5"/>
  <c r="AH496" i="5"/>
  <c r="AI496" i="5"/>
  <c r="AH451" i="5"/>
  <c r="AI451" i="5"/>
  <c r="AI468" i="5"/>
  <c r="AH468" i="5"/>
  <c r="AH35" i="5"/>
  <c r="AI35" i="5"/>
  <c r="AH195" i="5"/>
  <c r="AI195" i="5"/>
  <c r="AI116" i="5"/>
  <c r="AH116" i="5"/>
  <c r="AI416" i="5"/>
  <c r="AH416" i="5"/>
  <c r="AH236" i="5"/>
  <c r="AI236" i="5"/>
  <c r="AH448" i="5"/>
  <c r="AI448" i="5"/>
  <c r="AI186" i="5"/>
  <c r="AH186" i="5"/>
  <c r="AI112" i="5"/>
  <c r="AH112" i="5"/>
  <c r="AI411" i="5"/>
  <c r="AH411" i="5"/>
  <c r="AH134" i="5"/>
  <c r="AI134" i="5"/>
  <c r="AI247" i="5"/>
  <c r="AH247" i="5"/>
  <c r="AI220" i="5"/>
  <c r="AH220" i="5"/>
  <c r="AI96" i="5"/>
  <c r="AH96" i="5"/>
  <c r="AH21" i="4"/>
  <c r="AE21" i="4"/>
  <c r="Z21" i="4"/>
  <c r="X21" i="4" s="1"/>
  <c r="AJ21" i="4" s="1"/>
  <c r="AH19" i="4"/>
  <c r="AE19" i="4"/>
  <c r="Z19" i="4"/>
  <c r="X19" i="4" s="1"/>
  <c r="AJ19" i="4" s="1"/>
  <c r="AH111" i="4"/>
  <c r="AE111" i="4"/>
  <c r="AH13" i="4"/>
  <c r="Z13" i="4"/>
  <c r="X13" i="4" s="1"/>
  <c r="AJ13" i="4" s="1"/>
  <c r="AE13" i="4"/>
  <c r="AH92" i="4"/>
  <c r="AE92" i="4"/>
  <c r="AH133" i="4"/>
  <c r="AE133" i="4"/>
  <c r="AH38" i="4"/>
  <c r="AE38" i="4"/>
  <c r="Z38" i="4"/>
  <c r="AA38" i="4"/>
  <c r="AE127" i="4"/>
  <c r="AH127" i="4"/>
  <c r="AE18" i="4"/>
  <c r="AH18" i="4"/>
  <c r="Z18" i="4"/>
  <c r="X18" i="4" s="1"/>
  <c r="AJ18" i="4" s="1"/>
  <c r="AE156" i="4"/>
  <c r="AH156" i="4"/>
  <c r="AH77" i="4"/>
  <c r="AE77" i="4"/>
  <c r="AH40" i="4"/>
  <c r="AE40" i="4"/>
  <c r="Z40" i="4"/>
  <c r="AE22" i="4"/>
  <c r="AH22" i="4"/>
  <c r="Z22" i="4"/>
  <c r="X22" i="4" s="1"/>
  <c r="AJ22" i="4" s="1"/>
  <c r="AH125" i="4"/>
  <c r="AE125" i="4"/>
  <c r="AE115" i="4"/>
  <c r="AH115" i="4"/>
  <c r="AA115" i="4"/>
  <c r="Z115" i="4"/>
  <c r="AH134" i="4"/>
  <c r="AE134" i="4"/>
  <c r="AE11" i="4"/>
  <c r="AH11" i="4"/>
  <c r="Z11" i="4"/>
  <c r="X11" i="4" s="1"/>
  <c r="AJ11" i="4" s="1"/>
  <c r="AH154" i="4"/>
  <c r="AE154" i="4"/>
  <c r="AH143" i="4"/>
  <c r="AE143" i="4"/>
  <c r="AE52" i="4"/>
  <c r="AH52" i="4"/>
  <c r="Z52" i="4"/>
  <c r="X52" i="4" s="1"/>
  <c r="AH17" i="4"/>
  <c r="Z17" i="4"/>
  <c r="X17" i="4" s="1"/>
  <c r="AA17" i="4" s="1"/>
  <c r="AE17" i="4"/>
  <c r="AH132" i="4"/>
  <c r="Z132" i="4"/>
  <c r="AE132" i="4"/>
  <c r="AA132" i="4"/>
  <c r="AH86" i="4"/>
  <c r="AE86" i="4"/>
  <c r="AH90" i="4"/>
  <c r="AE90" i="4"/>
  <c r="AH45" i="4"/>
  <c r="Z45" i="4"/>
  <c r="AE45" i="4"/>
  <c r="AH107" i="4"/>
  <c r="AA107" i="4"/>
  <c r="Z107" i="4"/>
  <c r="AE107" i="4"/>
  <c r="AP127" i="5"/>
  <c r="AP500" i="5"/>
  <c r="AP524" i="5"/>
  <c r="AH61" i="4"/>
  <c r="AE61" i="4"/>
  <c r="AE141" i="4"/>
  <c r="AH141" i="4"/>
  <c r="AE33" i="4"/>
  <c r="Z33" i="4"/>
  <c r="X33" i="4" s="1"/>
  <c r="AH33" i="4"/>
  <c r="AH44" i="4"/>
  <c r="AE44" i="4"/>
  <c r="Z44" i="4"/>
  <c r="X44" i="4" s="1"/>
  <c r="AJ44" i="4" s="1"/>
  <c r="AE30" i="4"/>
  <c r="Z30" i="4"/>
  <c r="X30" i="4" s="1"/>
  <c r="AH30" i="4"/>
  <c r="AH15" i="4"/>
  <c r="AE15" i="4"/>
  <c r="Z15" i="4"/>
  <c r="X15" i="4" s="1"/>
  <c r="AJ15" i="4" s="1"/>
  <c r="AH8" i="4"/>
  <c r="Z8" i="4"/>
  <c r="X8" i="4" s="1"/>
  <c r="AJ8" i="4" s="1"/>
  <c r="AE8" i="4"/>
  <c r="AA147" i="4"/>
  <c r="AE147" i="4"/>
  <c r="Z147" i="4"/>
  <c r="AH147" i="4"/>
  <c r="AH137" i="4"/>
  <c r="AE137" i="4"/>
  <c r="AE28" i="4"/>
  <c r="Z28" i="4"/>
  <c r="X28" i="4" s="1"/>
  <c r="AH28" i="4"/>
  <c r="AE151" i="4"/>
  <c r="AH151" i="4"/>
  <c r="AU9" i="5"/>
  <c r="AV9" i="5"/>
  <c r="BC9" i="5"/>
  <c r="BB9" i="5"/>
  <c r="BA9" i="5"/>
  <c r="X9" i="5"/>
  <c r="Y9" i="5"/>
  <c r="AN397" i="5"/>
  <c r="AO397" i="5"/>
  <c r="AN237" i="5"/>
  <c r="AO237" i="5"/>
  <c r="AO37" i="5"/>
  <c r="AN37" i="5"/>
  <c r="AN558" i="5"/>
  <c r="AO558" i="5"/>
  <c r="AN166" i="5"/>
  <c r="AO166" i="5"/>
  <c r="AN404" i="5"/>
  <c r="AO404" i="5"/>
  <c r="AN187" i="5"/>
  <c r="AO187" i="5"/>
  <c r="AN216" i="5"/>
  <c r="AO216" i="5"/>
  <c r="AO420" i="5"/>
  <c r="AN420" i="5"/>
  <c r="AN427" i="5"/>
  <c r="AO427" i="5"/>
  <c r="AO447" i="5"/>
  <c r="AN447" i="5"/>
  <c r="AO286" i="5"/>
  <c r="AN286" i="5"/>
  <c r="AN473" i="5"/>
  <c r="AO473" i="5"/>
  <c r="AO503" i="5"/>
  <c r="AN503" i="5"/>
  <c r="AN202" i="5"/>
  <c r="AO202" i="5"/>
  <c r="AN215" i="5"/>
  <c r="AO215" i="5"/>
  <c r="AN177" i="5"/>
  <c r="AO177" i="5"/>
  <c r="AN328" i="5"/>
  <c r="AO328" i="5"/>
  <c r="AN306" i="5"/>
  <c r="AO306" i="5"/>
  <c r="AN421" i="5"/>
  <c r="AO421" i="5"/>
  <c r="AO109" i="5"/>
  <c r="AN109" i="5"/>
  <c r="AN545" i="5"/>
  <c r="AO545" i="5"/>
  <c r="AN344" i="5"/>
  <c r="AO344" i="5"/>
  <c r="AN491" i="5"/>
  <c r="AO491" i="5"/>
  <c r="AO512" i="5"/>
  <c r="AN512" i="5"/>
  <c r="AO544" i="5"/>
  <c r="AN544" i="5"/>
  <c r="AO134" i="5"/>
  <c r="AN134" i="5"/>
  <c r="AN433" i="5"/>
  <c r="AO433" i="5"/>
  <c r="AN22" i="5"/>
  <c r="AO22" i="5"/>
  <c r="AN181" i="5"/>
  <c r="AO181" i="5"/>
  <c r="AO555" i="5"/>
  <c r="AN555" i="5"/>
  <c r="AO262" i="5"/>
  <c r="AN262" i="5"/>
  <c r="AN410" i="5"/>
  <c r="AO410" i="5"/>
  <c r="AN502" i="5"/>
  <c r="AO502" i="5"/>
  <c r="AN233" i="5"/>
  <c r="AO233" i="5"/>
  <c r="AN319" i="5"/>
  <c r="AO319" i="5"/>
  <c r="AN457" i="5"/>
  <c r="AO457" i="5"/>
  <c r="AN304" i="5"/>
  <c r="AO304" i="5"/>
  <c r="AO46" i="5"/>
  <c r="AN46" i="5"/>
  <c r="AN400" i="5"/>
  <c r="AO400" i="5"/>
  <c r="AN398" i="5"/>
  <c r="AO398" i="5"/>
  <c r="AO440" i="5"/>
  <c r="AN440" i="5"/>
  <c r="AO198" i="5"/>
  <c r="AN198" i="5"/>
  <c r="AN34" i="5"/>
  <c r="AO34" i="5"/>
  <c r="AO64" i="5"/>
  <c r="AN64" i="5"/>
  <c r="AN50" i="5"/>
  <c r="AO50" i="5"/>
  <c r="AN431" i="5"/>
  <c r="AO431" i="5"/>
  <c r="AO542" i="5"/>
  <c r="AN542" i="5"/>
  <c r="AO206" i="5"/>
  <c r="AN206" i="5"/>
  <c r="AO370" i="5"/>
  <c r="AN370" i="5"/>
  <c r="AO499" i="5"/>
  <c r="AN499" i="5"/>
  <c r="AN10" i="5"/>
  <c r="AO10" i="5"/>
  <c r="AO481" i="5"/>
  <c r="AN481" i="5"/>
  <c r="AO239" i="5"/>
  <c r="AN239" i="5"/>
  <c r="AO263" i="5"/>
  <c r="AN263" i="5"/>
  <c r="AO258" i="5"/>
  <c r="AN258" i="5"/>
  <c r="AO55" i="5"/>
  <c r="AN55" i="5"/>
  <c r="AN255" i="5"/>
  <c r="AO255" i="5"/>
  <c r="AN112" i="5"/>
  <c r="AO112" i="5"/>
  <c r="AO332" i="5"/>
  <c r="AN332" i="5"/>
  <c r="AN543" i="5"/>
  <c r="AO543" i="5"/>
  <c r="AN53" i="5"/>
  <c r="AO53" i="5"/>
  <c r="AN88" i="5"/>
  <c r="AO88" i="5"/>
  <c r="AN513" i="5"/>
  <c r="AO513" i="5"/>
  <c r="AN396" i="5"/>
  <c r="AO396" i="5"/>
  <c r="AN217" i="5"/>
  <c r="AO217" i="5"/>
  <c r="AN519" i="5"/>
  <c r="AO519" i="5"/>
  <c r="AO464" i="5"/>
  <c r="AN464" i="5"/>
  <c r="AN357" i="5"/>
  <c r="AO357" i="5"/>
  <c r="AO94" i="5"/>
  <c r="AN94" i="5"/>
  <c r="AN102" i="5"/>
  <c r="AO102" i="5"/>
  <c r="AN19" i="5"/>
  <c r="AO19" i="5"/>
  <c r="AO97" i="5"/>
  <c r="AN97" i="5"/>
  <c r="AO279" i="5"/>
  <c r="AN279" i="5"/>
  <c r="AN165" i="5"/>
  <c r="AO165" i="5"/>
  <c r="AN67" i="5"/>
  <c r="AO67" i="5"/>
  <c r="AO415" i="5"/>
  <c r="AN415" i="5"/>
  <c r="AO52" i="5"/>
  <c r="AN52" i="5"/>
  <c r="AN43" i="5"/>
  <c r="AO43" i="5"/>
  <c r="AN317" i="5"/>
  <c r="AO317" i="5"/>
  <c r="AO523" i="5"/>
  <c r="AN523" i="5"/>
  <c r="AO359" i="5"/>
  <c r="AN359" i="5"/>
  <c r="AO131" i="5"/>
  <c r="AN131" i="5"/>
  <c r="AO100" i="5"/>
  <c r="AN100" i="5"/>
  <c r="AN528" i="5"/>
  <c r="AO528" i="5"/>
  <c r="AN303" i="5"/>
  <c r="AO303" i="5"/>
  <c r="AN349" i="5"/>
  <c r="AO349" i="5"/>
  <c r="AO540" i="5"/>
  <c r="AN540" i="5"/>
  <c r="AO174" i="5"/>
  <c r="AN174" i="5"/>
  <c r="AO29" i="5"/>
  <c r="AN29" i="5"/>
  <c r="AN471" i="5"/>
  <c r="AO471" i="5"/>
  <c r="AN488" i="5"/>
  <c r="AO488" i="5"/>
  <c r="AN20" i="5"/>
  <c r="AO20" i="5"/>
  <c r="AN238" i="5"/>
  <c r="AO238" i="5"/>
  <c r="AN508" i="5"/>
  <c r="AO508" i="5"/>
  <c r="AN23" i="5"/>
  <c r="AO23" i="5"/>
  <c r="AN111" i="5"/>
  <c r="AO111" i="5"/>
  <c r="AN161" i="5"/>
  <c r="AO161" i="5"/>
  <c r="AO99" i="5"/>
  <c r="AN99" i="5"/>
  <c r="AN35" i="5"/>
  <c r="AO35" i="5"/>
  <c r="AO119" i="5"/>
  <c r="AN119" i="5"/>
  <c r="AO271" i="5"/>
  <c r="AN271" i="5"/>
  <c r="AN449" i="5"/>
  <c r="AO449" i="5"/>
  <c r="AO538" i="5"/>
  <c r="AN538" i="5"/>
  <c r="AN47" i="5"/>
  <c r="AO47" i="5"/>
  <c r="AO58" i="5"/>
  <c r="AN58" i="5"/>
  <c r="AN379" i="5"/>
  <c r="AO379" i="5"/>
  <c r="AN339" i="5"/>
  <c r="AO339" i="5"/>
  <c r="AN522" i="5"/>
  <c r="AO522" i="5"/>
  <c r="AN423" i="5"/>
  <c r="AO423" i="5"/>
  <c r="AN223" i="5"/>
  <c r="AO223" i="5"/>
  <c r="AO75" i="5"/>
  <c r="AN75" i="5"/>
  <c r="AN91" i="5"/>
  <c r="AO91" i="5"/>
  <c r="AN123" i="5"/>
  <c r="AO123" i="5"/>
  <c r="AO493" i="5"/>
  <c r="AN493" i="5"/>
  <c r="AO7" i="5"/>
  <c r="AN7" i="5"/>
  <c r="AO346" i="5"/>
  <c r="AN346" i="5"/>
  <c r="AN484" i="5"/>
  <c r="AO484" i="5"/>
  <c r="AO8" i="5"/>
  <c r="AN8" i="5"/>
  <c r="AO130" i="5"/>
  <c r="AN130" i="5"/>
  <c r="AO289" i="5"/>
  <c r="AN289" i="5"/>
  <c r="AO534" i="5"/>
  <c r="AN534" i="5"/>
  <c r="AO253" i="5"/>
  <c r="AN253" i="5"/>
  <c r="AN89" i="5"/>
  <c r="AO89" i="5"/>
  <c r="AO121" i="5"/>
  <c r="AN121" i="5"/>
  <c r="AN395" i="5"/>
  <c r="AO395" i="5"/>
  <c r="AN330" i="5"/>
  <c r="AO330" i="5"/>
  <c r="AN188" i="5"/>
  <c r="AO188" i="5"/>
  <c r="AO441" i="5"/>
  <c r="AN441" i="5"/>
  <c r="AO486" i="5"/>
  <c r="AN486" i="5"/>
  <c r="AN92" i="5"/>
  <c r="AO92" i="5"/>
  <c r="AO60" i="5"/>
  <c r="AN60" i="5"/>
  <c r="AO80" i="5"/>
  <c r="AN80" i="5"/>
  <c r="AN114" i="5"/>
  <c r="AO114" i="5"/>
  <c r="AO261" i="5"/>
  <c r="AN261" i="5"/>
  <c r="AN245" i="5"/>
  <c r="AO245" i="5"/>
  <c r="AN516" i="5"/>
  <c r="AO516" i="5"/>
  <c r="AH335" i="5"/>
  <c r="AI335" i="5"/>
  <c r="AH482" i="5"/>
  <c r="AI482" i="5"/>
  <c r="AH446" i="5"/>
  <c r="AI446" i="5"/>
  <c r="AH386" i="5"/>
  <c r="AI386" i="5"/>
  <c r="AI162" i="5"/>
  <c r="AH162" i="5"/>
  <c r="AH8" i="5"/>
  <c r="AI8" i="5"/>
  <c r="AI497" i="5"/>
  <c r="AH497" i="5"/>
  <c r="AI455" i="5"/>
  <c r="AH455" i="5"/>
  <c r="AH529" i="5"/>
  <c r="AI529" i="5"/>
  <c r="AI309" i="5"/>
  <c r="AH309" i="5"/>
  <c r="AI90" i="5"/>
  <c r="AH90" i="5"/>
  <c r="AH431" i="5"/>
  <c r="AI431" i="5"/>
  <c r="AH126" i="5"/>
  <c r="AI126" i="5"/>
  <c r="AH32" i="5"/>
  <c r="AI32" i="5"/>
  <c r="AH373" i="5"/>
  <c r="AI373" i="5"/>
  <c r="AH108" i="5"/>
  <c r="AI108" i="5"/>
  <c r="AI281" i="5"/>
  <c r="AH281" i="5"/>
  <c r="AI176" i="5"/>
  <c r="AH176" i="5"/>
  <c r="AI237" i="5"/>
  <c r="AH237" i="5"/>
  <c r="AI538" i="5"/>
  <c r="AH538" i="5"/>
  <c r="AH284" i="5"/>
  <c r="AI284" i="5"/>
  <c r="AH270" i="5"/>
  <c r="AI270" i="5"/>
  <c r="AH509" i="5"/>
  <c r="AI509" i="5"/>
  <c r="AH511" i="5"/>
  <c r="AI511" i="5"/>
  <c r="AH260" i="5"/>
  <c r="AI260" i="5"/>
  <c r="AH472" i="5"/>
  <c r="AI472" i="5"/>
  <c r="AH19" i="5"/>
  <c r="AI19" i="5"/>
  <c r="AI207" i="5"/>
  <c r="AH207" i="5"/>
  <c r="AI168" i="5"/>
  <c r="AH168" i="5"/>
  <c r="AI70" i="5"/>
  <c r="AH70" i="5"/>
  <c r="AI24" i="5"/>
  <c r="AH24" i="5"/>
  <c r="AI302" i="5"/>
  <c r="AH302" i="5"/>
  <c r="AH403" i="5"/>
  <c r="AI403" i="5"/>
  <c r="AH133" i="5"/>
  <c r="AI133" i="5"/>
  <c r="AH159" i="5"/>
  <c r="AI159" i="5"/>
  <c r="AH363" i="5"/>
  <c r="AI363" i="5"/>
  <c r="AH238" i="5"/>
  <c r="AI238" i="5"/>
  <c r="AI129" i="5"/>
  <c r="AH129" i="5"/>
  <c r="AI185" i="5"/>
  <c r="AH185" i="5"/>
  <c r="AI428" i="5"/>
  <c r="AH428" i="5"/>
  <c r="AI362" i="5"/>
  <c r="AH362" i="5"/>
  <c r="AH130" i="5"/>
  <c r="AI130" i="5"/>
  <c r="AH277" i="5"/>
  <c r="AI277" i="5"/>
  <c r="AH492" i="5"/>
  <c r="AI492" i="5"/>
  <c r="AH452" i="5"/>
  <c r="AI452" i="5"/>
  <c r="AH332" i="5"/>
  <c r="AI332" i="5"/>
  <c r="AH124" i="5"/>
  <c r="AI124" i="5"/>
  <c r="AH481" i="5"/>
  <c r="AI481" i="5"/>
  <c r="AH305" i="5"/>
  <c r="AI305" i="5"/>
  <c r="AI251" i="5"/>
  <c r="AH251" i="5"/>
  <c r="AI227" i="5"/>
  <c r="AH227" i="5"/>
  <c r="AH201" i="5"/>
  <c r="AI201" i="5"/>
  <c r="AH99" i="5"/>
  <c r="AI99" i="5"/>
  <c r="AH275" i="5"/>
  <c r="AI275" i="5"/>
  <c r="AI180" i="5"/>
  <c r="AH180" i="5"/>
  <c r="AH304" i="5"/>
  <c r="AI304" i="5"/>
  <c r="AH214" i="5"/>
  <c r="AI214" i="5"/>
  <c r="AH65" i="5"/>
  <c r="AI65" i="5"/>
  <c r="AH256" i="5"/>
  <c r="AI256" i="5"/>
  <c r="AI109" i="5"/>
  <c r="AH109" i="5"/>
  <c r="AI279" i="5"/>
  <c r="AH279" i="5"/>
  <c r="AH104" i="5"/>
  <c r="AI104" i="5"/>
  <c r="AH525" i="5"/>
  <c r="AI525" i="5"/>
  <c r="AH387" i="5"/>
  <c r="AI387" i="5"/>
  <c r="AI223" i="5"/>
  <c r="AH223" i="5"/>
  <c r="AI137" i="5"/>
  <c r="AH137" i="5"/>
  <c r="AI485" i="5"/>
  <c r="AH485" i="5"/>
  <c r="AH477" i="5"/>
  <c r="AI477" i="5"/>
  <c r="AH461" i="5"/>
  <c r="AI461" i="5"/>
  <c r="AH245" i="5"/>
  <c r="AI245" i="5"/>
  <c r="AI528" i="5"/>
  <c r="AH528" i="5"/>
  <c r="AH169" i="5"/>
  <c r="AI169" i="5"/>
  <c r="AI135" i="5"/>
  <c r="AH135" i="5"/>
  <c r="AI246" i="5"/>
  <c r="AH246" i="5"/>
  <c r="AI122" i="5"/>
  <c r="AH122" i="5"/>
  <c r="AI338" i="5"/>
  <c r="AH338" i="5"/>
  <c r="AI533" i="5"/>
  <c r="AH533" i="5"/>
  <c r="AI86" i="5"/>
  <c r="AH86" i="5"/>
  <c r="AI516" i="5"/>
  <c r="AH516" i="5"/>
  <c r="AI474" i="5"/>
  <c r="AH474" i="5"/>
  <c r="AI487" i="5"/>
  <c r="AH487" i="5"/>
  <c r="AI49" i="5"/>
  <c r="AH49" i="5"/>
  <c r="AI501" i="5"/>
  <c r="AH501" i="5"/>
  <c r="AI148" i="5"/>
  <c r="AH148" i="5"/>
  <c r="AH157" i="5"/>
  <c r="AI157" i="5"/>
  <c r="AH471" i="5"/>
  <c r="AI471" i="5"/>
  <c r="AI544" i="5"/>
  <c r="AH544" i="5"/>
  <c r="AH232" i="5"/>
  <c r="AI232" i="5"/>
  <c r="AH95" i="5"/>
  <c r="AI95" i="5"/>
  <c r="AI191" i="5"/>
  <c r="AH191" i="5"/>
  <c r="AH44" i="5"/>
  <c r="AI44" i="5"/>
  <c r="AH559" i="5"/>
  <c r="AI559" i="5"/>
  <c r="AH139" i="5"/>
  <c r="AI139" i="5"/>
  <c r="AI537" i="5"/>
  <c r="AH537" i="5"/>
  <c r="AI179" i="5"/>
  <c r="AH179" i="5"/>
  <c r="AH545" i="5"/>
  <c r="AI545" i="5"/>
  <c r="AH489" i="5"/>
  <c r="AI489" i="5"/>
  <c r="AH197" i="5"/>
  <c r="AI197" i="5"/>
  <c r="AH357" i="5"/>
  <c r="AI357" i="5"/>
  <c r="AH263" i="5"/>
  <c r="AI263" i="5"/>
  <c r="AH532" i="5"/>
  <c r="AI532" i="5"/>
  <c r="AH449" i="5"/>
  <c r="AI449" i="5"/>
  <c r="AH346" i="5"/>
  <c r="AI346" i="5"/>
  <c r="AI301" i="5"/>
  <c r="AH301" i="5"/>
  <c r="AI101" i="5"/>
  <c r="AH101" i="5"/>
  <c r="AI117" i="5"/>
  <c r="AH117" i="5"/>
  <c r="AI202" i="5"/>
  <c r="AH202" i="5"/>
  <c r="AH172" i="5"/>
  <c r="AI172" i="5"/>
  <c r="AI190" i="5"/>
  <c r="AH190" i="5"/>
  <c r="AI68" i="5"/>
  <c r="AH68" i="5"/>
  <c r="AH183" i="5"/>
  <c r="AI183" i="5"/>
  <c r="AI145" i="5"/>
  <c r="AH145" i="5"/>
  <c r="AI400" i="5"/>
  <c r="AH400" i="5"/>
  <c r="AI475" i="5"/>
  <c r="AH475" i="5"/>
  <c r="AH311" i="5"/>
  <c r="AI311" i="5"/>
  <c r="AI193" i="5"/>
  <c r="AH193" i="5"/>
  <c r="AH500" i="5"/>
  <c r="AI500" i="5"/>
  <c r="AH351" i="5"/>
  <c r="AI351" i="5"/>
  <c r="AI508" i="5"/>
  <c r="AH508" i="5"/>
  <c r="AH249" i="5"/>
  <c r="AI249" i="5"/>
  <c r="AH418" i="5"/>
  <c r="AI418" i="5"/>
  <c r="AH182" i="5"/>
  <c r="AI182" i="5"/>
  <c r="AH150" i="5"/>
  <c r="AI150" i="5"/>
  <c r="AH252" i="5"/>
  <c r="AI252" i="5"/>
  <c r="AI149" i="5"/>
  <c r="AH149" i="5"/>
  <c r="AH110" i="5"/>
  <c r="AI110" i="5"/>
  <c r="AI243" i="5"/>
  <c r="AH243" i="5"/>
  <c r="AI98" i="5"/>
  <c r="AH98" i="5"/>
  <c r="AH30" i="5"/>
  <c r="AI30" i="5"/>
  <c r="AH450" i="5"/>
  <c r="AI450" i="5"/>
  <c r="AI374" i="5"/>
  <c r="AH374" i="5"/>
  <c r="AH155" i="5"/>
  <c r="AI155" i="5"/>
  <c r="AH13" i="5"/>
  <c r="AI13" i="5"/>
  <c r="AI88" i="5"/>
  <c r="AH88" i="5"/>
  <c r="AH184" i="5"/>
  <c r="AI184" i="5"/>
  <c r="AI72" i="5"/>
  <c r="AH72" i="5"/>
  <c r="AH352" i="5"/>
  <c r="AI352" i="5"/>
  <c r="AE103" i="4"/>
  <c r="AA103" i="4"/>
  <c r="Z103" i="4"/>
  <c r="AH103" i="4"/>
  <c r="AH75" i="4"/>
  <c r="AE75" i="4"/>
  <c r="AR482" i="5" l="1"/>
  <c r="BI140" i="5"/>
  <c r="AR140" i="5"/>
  <c r="AQ112" i="5"/>
  <c r="AR112" i="5"/>
  <c r="AQ482" i="5"/>
  <c r="AQ178" i="5"/>
  <c r="BI178" i="5"/>
  <c r="BJ178" i="5" s="1"/>
  <c r="BI270" i="5"/>
  <c r="BK270" i="5" s="1"/>
  <c r="BI80" i="5"/>
  <c r="BK80" i="5" s="1"/>
  <c r="AR535" i="5"/>
  <c r="BI535" i="5"/>
  <c r="BK535" i="5" s="1"/>
  <c r="AR80" i="5"/>
  <c r="AQ270" i="5"/>
  <c r="AQ338" i="5"/>
  <c r="BI338" i="5"/>
  <c r="BJ338" i="5" s="1"/>
  <c r="AR193" i="5"/>
  <c r="BI193" i="5"/>
  <c r="BJ193" i="5" s="1"/>
  <c r="AR438" i="5"/>
  <c r="AQ183" i="5"/>
  <c r="AQ418" i="5"/>
  <c r="AQ23" i="5"/>
  <c r="AQ473" i="5"/>
  <c r="AR23" i="5"/>
  <c r="AR473" i="5"/>
  <c r="BI418" i="5"/>
  <c r="BJ418" i="5" s="1"/>
  <c r="AR19" i="5"/>
  <c r="AR417" i="5"/>
  <c r="AR216" i="5"/>
  <c r="AQ216" i="5"/>
  <c r="AQ417" i="5"/>
  <c r="AR146" i="5"/>
  <c r="AQ438" i="5"/>
  <c r="AR183" i="5"/>
  <c r="AR399" i="5"/>
  <c r="BI274" i="5"/>
  <c r="BK274" i="5" s="1"/>
  <c r="AR253" i="5"/>
  <c r="AR138" i="5"/>
  <c r="AQ138" i="5"/>
  <c r="AQ117" i="5"/>
  <c r="BI397" i="5"/>
  <c r="BJ397" i="5" s="1"/>
  <c r="BI117" i="5"/>
  <c r="BJ117" i="5" s="1"/>
  <c r="AQ228" i="5"/>
  <c r="AR184" i="5"/>
  <c r="AQ184" i="5"/>
  <c r="AQ397" i="5"/>
  <c r="AR160" i="5"/>
  <c r="AR227" i="5"/>
  <c r="AQ160" i="5"/>
  <c r="BI227" i="5"/>
  <c r="BJ227" i="5" s="1"/>
  <c r="BI228" i="5"/>
  <c r="BJ228" i="5" s="1"/>
  <c r="BI250" i="5"/>
  <c r="BJ250" i="5" s="1"/>
  <c r="AQ250" i="5"/>
  <c r="AR368" i="5"/>
  <c r="AR472" i="5"/>
  <c r="AR286" i="5"/>
  <c r="AQ399" i="5"/>
  <c r="BI368" i="5"/>
  <c r="BJ368" i="5" s="1"/>
  <c r="BI243" i="5"/>
  <c r="BJ243" i="5" s="1"/>
  <c r="AR243" i="5"/>
  <c r="AQ286" i="5"/>
  <c r="AQ274" i="5"/>
  <c r="BI202" i="5"/>
  <c r="BJ202" i="5" s="1"/>
  <c r="AQ472" i="5"/>
  <c r="BI241" i="5"/>
  <c r="BJ241" i="5" s="1"/>
  <c r="AR306" i="5"/>
  <c r="AQ306" i="5"/>
  <c r="AQ275" i="5"/>
  <c r="AQ131" i="5"/>
  <c r="AQ445" i="5"/>
  <c r="AR467" i="5"/>
  <c r="AQ98" i="5"/>
  <c r="AR98" i="5"/>
  <c r="AR230" i="5"/>
  <c r="BI363" i="5"/>
  <c r="BJ363" i="5" s="1"/>
  <c r="AQ363" i="5"/>
  <c r="BI253" i="5"/>
  <c r="BJ253" i="5" s="1"/>
  <c r="BI164" i="5"/>
  <c r="BJ164" i="5" s="1"/>
  <c r="AR218" i="5"/>
  <c r="BI230" i="5"/>
  <c r="BK230" i="5" s="1"/>
  <c r="BI200" i="5"/>
  <c r="BK200" i="5" s="1"/>
  <c r="BI358" i="5"/>
  <c r="BK358" i="5" s="1"/>
  <c r="BI105" i="5"/>
  <c r="BJ105" i="5" s="1"/>
  <c r="AQ528" i="5"/>
  <c r="AR445" i="5"/>
  <c r="BI246" i="5"/>
  <c r="BK246" i="5" s="1"/>
  <c r="AQ246" i="5"/>
  <c r="BI282" i="5"/>
  <c r="BJ282" i="5" s="1"/>
  <c r="BI285" i="5"/>
  <c r="BJ285" i="5" s="1"/>
  <c r="BI560" i="5"/>
  <c r="BK560" i="5" s="1"/>
  <c r="AQ101" i="5"/>
  <c r="AR429" i="5"/>
  <c r="AR285" i="5"/>
  <c r="AR560" i="5"/>
  <c r="AQ47" i="5"/>
  <c r="AR101" i="5"/>
  <c r="AQ324" i="5"/>
  <c r="AR174" i="5"/>
  <c r="BI324" i="5"/>
  <c r="BJ324" i="5" s="1"/>
  <c r="BI528" i="5"/>
  <c r="BJ528" i="5" s="1"/>
  <c r="AR358" i="5"/>
  <c r="BI237" i="5"/>
  <c r="BK237" i="5" s="1"/>
  <c r="AR105" i="5"/>
  <c r="AR29" i="5"/>
  <c r="Z127" i="4"/>
  <c r="AK127" i="4" s="1"/>
  <c r="AL127" i="4" s="1"/>
  <c r="AR237" i="5"/>
  <c r="AR153" i="5"/>
  <c r="AR235" i="5"/>
  <c r="AQ39" i="5"/>
  <c r="AR131" i="5"/>
  <c r="AR499" i="5"/>
  <c r="BI39" i="5"/>
  <c r="BJ39" i="5" s="1"/>
  <c r="BI70" i="5"/>
  <c r="BK70" i="5" s="1"/>
  <c r="BI244" i="5"/>
  <c r="BK244" i="5" s="1"/>
  <c r="AR111" i="5"/>
  <c r="BI171" i="5"/>
  <c r="BK171" i="5" s="1"/>
  <c r="AQ135" i="5"/>
  <c r="AR261" i="5"/>
  <c r="AQ546" i="5"/>
  <c r="AQ499" i="5"/>
  <c r="BI132" i="5"/>
  <c r="BJ132" i="5" s="1"/>
  <c r="AR143" i="5"/>
  <c r="AQ132" i="5"/>
  <c r="BI143" i="5"/>
  <c r="BJ143" i="5" s="1"/>
  <c r="AR545" i="5"/>
  <c r="AR344" i="5"/>
  <c r="AR135" i="5"/>
  <c r="AQ235" i="5"/>
  <c r="AQ526" i="5"/>
  <c r="AR96" i="5"/>
  <c r="BI545" i="5"/>
  <c r="BJ545" i="5" s="1"/>
  <c r="AR217" i="5"/>
  <c r="BI281" i="5"/>
  <c r="BK281" i="5" s="1"/>
  <c r="BI526" i="5"/>
  <c r="BJ526" i="5" s="1"/>
  <c r="BI96" i="5"/>
  <c r="BJ96" i="5" s="1"/>
  <c r="AQ217" i="5"/>
  <c r="AQ281" i="5"/>
  <c r="AR305" i="5"/>
  <c r="BI340" i="5"/>
  <c r="BJ340" i="5" s="1"/>
  <c r="BI272" i="5"/>
  <c r="BK272" i="5" s="1"/>
  <c r="AR272" i="5"/>
  <c r="AQ407" i="5"/>
  <c r="AR407" i="5"/>
  <c r="AR20" i="5"/>
  <c r="AQ410" i="5"/>
  <c r="BI20" i="5"/>
  <c r="BK20" i="5" s="1"/>
  <c r="Z130" i="4"/>
  <c r="AF130" i="4" s="1"/>
  <c r="AG130" i="4" s="1"/>
  <c r="AI130" i="4" s="1"/>
  <c r="BI410" i="5"/>
  <c r="BJ410" i="5" s="1"/>
  <c r="AQ29" i="5"/>
  <c r="AQ174" i="5"/>
  <c r="AQ70" i="5"/>
  <c r="AR149" i="5"/>
  <c r="BI344" i="5"/>
  <c r="BJ344" i="5" s="1"/>
  <c r="AR171" i="5"/>
  <c r="AQ305" i="5"/>
  <c r="AQ149" i="5"/>
  <c r="AQ483" i="5"/>
  <c r="AQ111" i="5"/>
  <c r="AQ395" i="5"/>
  <c r="AQ257" i="5"/>
  <c r="AQ161" i="5"/>
  <c r="BI192" i="5"/>
  <c r="BJ192" i="5" s="1"/>
  <c r="AR409" i="5"/>
  <c r="AR192" i="5"/>
  <c r="AR257" i="5"/>
  <c r="AQ220" i="5"/>
  <c r="BI516" i="5"/>
  <c r="BK516" i="5" s="1"/>
  <c r="AQ172" i="5"/>
  <c r="AR483" i="5"/>
  <c r="AR172" i="5"/>
  <c r="AQ223" i="5"/>
  <c r="AR32" i="5"/>
  <c r="AR277" i="5"/>
  <c r="BI32" i="5"/>
  <c r="BJ32" i="5" s="1"/>
  <c r="AR222" i="5"/>
  <c r="AR355" i="5"/>
  <c r="BI277" i="5"/>
  <c r="BJ277" i="5" s="1"/>
  <c r="AQ222" i="5"/>
  <c r="BI355" i="5"/>
  <c r="BJ355" i="5" s="1"/>
  <c r="BI389" i="5"/>
  <c r="BJ389" i="5" s="1"/>
  <c r="AR466" i="5"/>
  <c r="AR389" i="5"/>
  <c r="BI466" i="5"/>
  <c r="BJ466" i="5" s="1"/>
  <c r="AA130" i="4"/>
  <c r="AP130" i="4" s="1"/>
  <c r="BI515" i="5"/>
  <c r="BJ515" i="5" s="1"/>
  <c r="AR515" i="5"/>
  <c r="BI501" i="5"/>
  <c r="BK501" i="5" s="1"/>
  <c r="AQ282" i="5"/>
  <c r="BI471" i="5"/>
  <c r="BK471" i="5" s="1"/>
  <c r="BI64" i="5"/>
  <c r="BJ64" i="5" s="1"/>
  <c r="AR220" i="5"/>
  <c r="AR64" i="5"/>
  <c r="BI512" i="5"/>
  <c r="BJ512" i="5" s="1"/>
  <c r="AR48" i="5"/>
  <c r="AR231" i="5"/>
  <c r="AQ493" i="5"/>
  <c r="AR373" i="5"/>
  <c r="AQ52" i="5"/>
  <c r="BI231" i="5"/>
  <c r="BK231" i="5" s="1"/>
  <c r="BI224" i="5"/>
  <c r="BJ224" i="5" s="1"/>
  <c r="BI439" i="5"/>
  <c r="BK439" i="5" s="1"/>
  <c r="AQ373" i="5"/>
  <c r="AQ224" i="5"/>
  <c r="AR375" i="5"/>
  <c r="AR321" i="5"/>
  <c r="BI375" i="5"/>
  <c r="BJ375" i="5" s="1"/>
  <c r="BI321" i="5"/>
  <c r="BK321" i="5" s="1"/>
  <c r="AR475" i="5"/>
  <c r="BI475" i="5"/>
  <c r="BK475" i="5" s="1"/>
  <c r="AQ323" i="5"/>
  <c r="AQ518" i="5"/>
  <c r="AR202" i="5"/>
  <c r="AR331" i="5"/>
  <c r="AQ468" i="5"/>
  <c r="BI468" i="5"/>
  <c r="BK468" i="5" s="1"/>
  <c r="BI173" i="5"/>
  <c r="BK173" i="5" s="1"/>
  <c r="AQ471" i="5"/>
  <c r="AR177" i="5"/>
  <c r="AQ241" i="5"/>
  <c r="AR298" i="5"/>
  <c r="BI177" i="5"/>
  <c r="BK177" i="5" s="1"/>
  <c r="BI298" i="5"/>
  <c r="BK298" i="5" s="1"/>
  <c r="AQ43" i="5"/>
  <c r="BI478" i="5"/>
  <c r="BJ478" i="5" s="1"/>
  <c r="AQ212" i="5"/>
  <c r="AR478" i="5"/>
  <c r="AR541" i="5"/>
  <c r="AQ491" i="5"/>
  <c r="AQ541" i="5"/>
  <c r="BI43" i="5"/>
  <c r="BK43" i="5" s="1"/>
  <c r="BI21" i="5"/>
  <c r="BJ21" i="5" s="1"/>
  <c r="AQ21" i="5"/>
  <c r="AR268" i="5"/>
  <c r="AQ63" i="5"/>
  <c r="AR345" i="5"/>
  <c r="Z58" i="4"/>
  <c r="X58" i="4" s="1"/>
  <c r="AJ58" i="4" s="1"/>
  <c r="AR242" i="5"/>
  <c r="AR518" i="5"/>
  <c r="AQ331" i="5"/>
  <c r="AR323" i="5"/>
  <c r="AR379" i="5"/>
  <c r="AQ453" i="5"/>
  <c r="AR170" i="5"/>
  <c r="AR453" i="5"/>
  <c r="AR82" i="5"/>
  <c r="BI82" i="5"/>
  <c r="BK82" i="5" s="1"/>
  <c r="AR428" i="5"/>
  <c r="BI544" i="5"/>
  <c r="BJ544" i="5" s="1"/>
  <c r="BI428" i="5"/>
  <c r="BK428" i="5" s="1"/>
  <c r="BI442" i="5"/>
  <c r="BJ442" i="5" s="1"/>
  <c r="AQ442" i="5"/>
  <c r="AQ544" i="5"/>
  <c r="AR434" i="5"/>
  <c r="AR40" i="5"/>
  <c r="BI434" i="5"/>
  <c r="BK434" i="5" s="1"/>
  <c r="BI40" i="5"/>
  <c r="BK40" i="5" s="1"/>
  <c r="AR480" i="5"/>
  <c r="AR406" i="5"/>
  <c r="BI480" i="5"/>
  <c r="BK480" i="5" s="1"/>
  <c r="AQ406" i="5"/>
  <c r="BI365" i="5"/>
  <c r="BJ365" i="5" s="1"/>
  <c r="AQ365" i="5"/>
  <c r="AQ201" i="5"/>
  <c r="BI463" i="5"/>
  <c r="BK463" i="5" s="1"/>
  <c r="BI361" i="5"/>
  <c r="BJ361" i="5" s="1"/>
  <c r="AR361" i="5"/>
  <c r="AR166" i="5"/>
  <c r="AQ379" i="5"/>
  <c r="AQ170" i="5"/>
  <c r="AR431" i="5"/>
  <c r="AR339" i="5"/>
  <c r="AQ431" i="5"/>
  <c r="AQ339" i="5"/>
  <c r="BI391" i="5"/>
  <c r="BK391" i="5" s="1"/>
  <c r="AQ391" i="5"/>
  <c r="AQ521" i="5"/>
  <c r="BI521" i="5"/>
  <c r="BJ521" i="5" s="1"/>
  <c r="AR167" i="5"/>
  <c r="AR78" i="5"/>
  <c r="BI167" i="5"/>
  <c r="BJ167" i="5" s="1"/>
  <c r="AR501" i="5"/>
  <c r="AQ137" i="5"/>
  <c r="BI137" i="5"/>
  <c r="BK137" i="5" s="1"/>
  <c r="AQ414" i="5"/>
  <c r="BI414" i="5"/>
  <c r="BK414" i="5" s="1"/>
  <c r="AR449" i="5"/>
  <c r="BI449" i="5"/>
  <c r="BJ449" i="5" s="1"/>
  <c r="AR356" i="5"/>
  <c r="AQ263" i="5"/>
  <c r="AR330" i="5"/>
  <c r="BI336" i="5"/>
  <c r="BJ336" i="5" s="1"/>
  <c r="AQ345" i="5"/>
  <c r="AR336" i="5"/>
  <c r="BI52" i="5"/>
  <c r="BJ52" i="5" s="1"/>
  <c r="BI146" i="5"/>
  <c r="BJ146" i="5" s="1"/>
  <c r="AQ158" i="5"/>
  <c r="AR213" i="5"/>
  <c r="AQ279" i="5"/>
  <c r="BI213" i="5"/>
  <c r="BJ213" i="5" s="1"/>
  <c r="BI141" i="5"/>
  <c r="BK141" i="5" s="1"/>
  <c r="AR287" i="5"/>
  <c r="BI330" i="5"/>
  <c r="BJ330" i="5" s="1"/>
  <c r="AQ141" i="5"/>
  <c r="AA86" i="4"/>
  <c r="AP86" i="4" s="1"/>
  <c r="AQ467" i="5"/>
  <c r="BI287" i="5"/>
  <c r="BK287" i="5" s="1"/>
  <c r="AQ356" i="5"/>
  <c r="AR92" i="5"/>
  <c r="BI92" i="5"/>
  <c r="BK92" i="5" s="1"/>
  <c r="BI85" i="5"/>
  <c r="BK85" i="5" s="1"/>
  <c r="AQ163" i="5"/>
  <c r="Z86" i="4"/>
  <c r="AN86" i="4" s="1"/>
  <c r="BI108" i="5"/>
  <c r="BJ108" i="5" s="1"/>
  <c r="AQ229" i="5"/>
  <c r="AR367" i="5"/>
  <c r="BI292" i="5"/>
  <c r="BK292" i="5" s="1"/>
  <c r="BI367" i="5"/>
  <c r="BJ367" i="5" s="1"/>
  <c r="AR108" i="5"/>
  <c r="AR181" i="5"/>
  <c r="BI229" i="5"/>
  <c r="BK229" i="5" s="1"/>
  <c r="AR292" i="5"/>
  <c r="BI432" i="5"/>
  <c r="BK432" i="5" s="1"/>
  <c r="AQ476" i="5"/>
  <c r="BI181" i="5"/>
  <c r="BK181" i="5" s="1"/>
  <c r="AQ432" i="5"/>
  <c r="BI476" i="5"/>
  <c r="BK476" i="5" s="1"/>
  <c r="AQ214" i="5"/>
  <c r="AR304" i="5"/>
  <c r="AQ304" i="5"/>
  <c r="BI106" i="5"/>
  <c r="BJ106" i="5" s="1"/>
  <c r="AR106" i="5"/>
  <c r="AQ369" i="5"/>
  <c r="BI8" i="5"/>
  <c r="BJ8" i="5" s="1"/>
  <c r="AR401" i="5"/>
  <c r="AQ401" i="5"/>
  <c r="AR47" i="5"/>
  <c r="AQ244" i="5"/>
  <c r="BI162" i="5"/>
  <c r="BK162" i="5" s="1"/>
  <c r="BI261" i="5"/>
  <c r="BK261" i="5" s="1"/>
  <c r="AR8" i="5"/>
  <c r="AQ489" i="5"/>
  <c r="AQ429" i="5"/>
  <c r="BI71" i="5"/>
  <c r="BK71" i="5" s="1"/>
  <c r="BI421" i="5"/>
  <c r="BK421" i="5" s="1"/>
  <c r="AR489" i="5"/>
  <c r="AQ71" i="5"/>
  <c r="AR421" i="5"/>
  <c r="AR546" i="5"/>
  <c r="AR289" i="5"/>
  <c r="AQ289" i="5"/>
  <c r="BI487" i="5"/>
  <c r="BK487" i="5" s="1"/>
  <c r="AQ470" i="5"/>
  <c r="AQ487" i="5"/>
  <c r="AQ164" i="5"/>
  <c r="AR275" i="5"/>
  <c r="AR161" i="5"/>
  <c r="AR259" i="5"/>
  <c r="AR516" i="5"/>
  <c r="BI259" i="5"/>
  <c r="BK259" i="5" s="1"/>
  <c r="AR223" i="5"/>
  <c r="BI486" i="5"/>
  <c r="BJ486" i="5" s="1"/>
  <c r="AR557" i="5"/>
  <c r="AR454" i="5"/>
  <c r="AQ119" i="5"/>
  <c r="AQ486" i="5"/>
  <c r="BI557" i="5"/>
  <c r="BK557" i="5" s="1"/>
  <c r="BI76" i="5"/>
  <c r="BK76" i="5" s="1"/>
  <c r="AR119" i="5"/>
  <c r="BI402" i="5"/>
  <c r="BK402" i="5" s="1"/>
  <c r="AQ76" i="5"/>
  <c r="AR118" i="5"/>
  <c r="AR85" i="5"/>
  <c r="BI158" i="5"/>
  <c r="BK158" i="5" s="1"/>
  <c r="BI279" i="5"/>
  <c r="BK279" i="5" s="1"/>
  <c r="BI346" i="5"/>
  <c r="BK346" i="5" s="1"/>
  <c r="BI133" i="5"/>
  <c r="BK133" i="5" s="1"/>
  <c r="BI74" i="5"/>
  <c r="BJ74" i="5" s="1"/>
  <c r="BI303" i="5"/>
  <c r="BJ303" i="5" s="1"/>
  <c r="AQ133" i="5"/>
  <c r="AQ242" i="5"/>
  <c r="AQ74" i="5"/>
  <c r="AR27" i="5"/>
  <c r="AR491" i="5"/>
  <c r="BI214" i="5"/>
  <c r="BK214" i="5" s="1"/>
  <c r="AQ27" i="5"/>
  <c r="BI63" i="5"/>
  <c r="BJ63" i="5" s="1"/>
  <c r="BI268" i="5"/>
  <c r="BK268" i="5" s="1"/>
  <c r="AR481" i="5"/>
  <c r="BI481" i="5"/>
  <c r="BK481" i="5" s="1"/>
  <c r="BI212" i="5"/>
  <c r="BK212" i="5" s="1"/>
  <c r="AQ150" i="5"/>
  <c r="BI150" i="5"/>
  <c r="BJ150" i="5" s="1"/>
  <c r="AQ55" i="5"/>
  <c r="BI514" i="5"/>
  <c r="BJ514" i="5" s="1"/>
  <c r="AR55" i="5"/>
  <c r="AQ514" i="5"/>
  <c r="BI532" i="5"/>
  <c r="BJ532" i="5" s="1"/>
  <c r="BI42" i="5"/>
  <c r="BK42" i="5" s="1"/>
  <c r="AR532" i="5"/>
  <c r="AQ42" i="5"/>
  <c r="AQ12" i="5"/>
  <c r="BI194" i="5"/>
  <c r="BK194" i="5" s="1"/>
  <c r="AQ194" i="5"/>
  <c r="AQ179" i="5"/>
  <c r="AQ208" i="5"/>
  <c r="AQ88" i="5"/>
  <c r="BI201" i="5"/>
  <c r="BJ201" i="5" s="1"/>
  <c r="BI78" i="5"/>
  <c r="BJ78" i="5" s="1"/>
  <c r="AR403" i="5"/>
  <c r="AQ303" i="5"/>
  <c r="AQ403" i="5"/>
  <c r="AQ182" i="5"/>
  <c r="AR182" i="5"/>
  <c r="AQ326" i="5"/>
  <c r="BI24" i="5"/>
  <c r="BK24" i="5" s="1"/>
  <c r="AQ24" i="5"/>
  <c r="AR370" i="5"/>
  <c r="BI126" i="5"/>
  <c r="BJ126" i="5" s="1"/>
  <c r="BI203" i="5"/>
  <c r="BJ203" i="5" s="1"/>
  <c r="AR424" i="5"/>
  <c r="AR126" i="5"/>
  <c r="AR346" i="5"/>
  <c r="AR203" i="5"/>
  <c r="BI12" i="5"/>
  <c r="BJ12" i="5" s="1"/>
  <c r="AR513" i="5"/>
  <c r="AQ302" i="5"/>
  <c r="BI291" i="5"/>
  <c r="BJ291" i="5" s="1"/>
  <c r="AQ173" i="5"/>
  <c r="BI88" i="5"/>
  <c r="BJ88" i="5" s="1"/>
  <c r="BI376" i="5"/>
  <c r="BK376" i="5" s="1"/>
  <c r="AR477" i="5"/>
  <c r="AR376" i="5"/>
  <c r="AR10" i="5"/>
  <c r="BI326" i="5"/>
  <c r="BJ326" i="5" s="1"/>
  <c r="AQ536" i="5"/>
  <c r="BI536" i="5"/>
  <c r="BJ536" i="5" s="1"/>
  <c r="AQ333" i="5"/>
  <c r="BI318" i="5"/>
  <c r="BK318" i="5" s="1"/>
  <c r="BI443" i="5"/>
  <c r="BJ443" i="5" s="1"/>
  <c r="AQ553" i="5"/>
  <c r="BI374" i="5"/>
  <c r="BJ374" i="5" s="1"/>
  <c r="AR208" i="5"/>
  <c r="AA145" i="4"/>
  <c r="AP145" i="4" s="1"/>
  <c r="AQ374" i="5"/>
  <c r="AQ19" i="5"/>
  <c r="BI302" i="5"/>
  <c r="BJ302" i="5" s="1"/>
  <c r="AR342" i="5"/>
  <c r="BI342" i="5"/>
  <c r="BK342" i="5" s="1"/>
  <c r="AR380" i="5"/>
  <c r="AR329" i="5"/>
  <c r="AR510" i="5"/>
  <c r="BI380" i="5"/>
  <c r="BK380" i="5" s="1"/>
  <c r="BI329" i="5"/>
  <c r="BJ329" i="5" s="1"/>
  <c r="AR496" i="5"/>
  <c r="BI510" i="5"/>
  <c r="BK510" i="5" s="1"/>
  <c r="BI496" i="5"/>
  <c r="BK496" i="5" s="1"/>
  <c r="AQ205" i="5"/>
  <c r="BI205" i="5"/>
  <c r="BJ205" i="5" s="1"/>
  <c r="AQ511" i="5"/>
  <c r="BI136" i="5"/>
  <c r="BJ136" i="5" s="1"/>
  <c r="AR366" i="5"/>
  <c r="BI511" i="5"/>
  <c r="BJ511" i="5" s="1"/>
  <c r="AQ136" i="5"/>
  <c r="BI366" i="5"/>
  <c r="BJ366" i="5" s="1"/>
  <c r="AR436" i="5"/>
  <c r="AQ26" i="5"/>
  <c r="AR256" i="5"/>
  <c r="BI256" i="5"/>
  <c r="BK256" i="5" s="1"/>
  <c r="AA131" i="4"/>
  <c r="AP131" i="4" s="1"/>
  <c r="AQ436" i="5"/>
  <c r="AR490" i="5"/>
  <c r="AR26" i="5"/>
  <c r="AQ533" i="5"/>
  <c r="Z131" i="4"/>
  <c r="AK131" i="4" s="1"/>
  <c r="AL131" i="4" s="1"/>
  <c r="AR509" i="5"/>
  <c r="AR382" i="5"/>
  <c r="AQ490" i="5"/>
  <c r="BI533" i="5"/>
  <c r="BK533" i="5" s="1"/>
  <c r="BI28" i="5"/>
  <c r="BJ28" i="5" s="1"/>
  <c r="AQ509" i="5"/>
  <c r="BI382" i="5"/>
  <c r="BK382" i="5" s="1"/>
  <c r="AR168" i="5"/>
  <c r="AA123" i="4"/>
  <c r="AP123" i="4" s="1"/>
  <c r="AR122" i="5"/>
  <c r="AR28" i="5"/>
  <c r="AR412" i="5"/>
  <c r="BI525" i="5"/>
  <c r="BJ525" i="5" s="1"/>
  <c r="AQ122" i="5"/>
  <c r="AR553" i="5"/>
  <c r="AQ412" i="5"/>
  <c r="BI290" i="5"/>
  <c r="BK290" i="5" s="1"/>
  <c r="AR525" i="5"/>
  <c r="Z145" i="4"/>
  <c r="AF145" i="4" s="1"/>
  <c r="AG145" i="4" s="1"/>
  <c r="AI145" i="4" s="1"/>
  <c r="Z123" i="4"/>
  <c r="AK123" i="4" s="1"/>
  <c r="AL123" i="4" s="1"/>
  <c r="BI190" i="5"/>
  <c r="BK190" i="5" s="1"/>
  <c r="AQ190" i="5"/>
  <c r="BI276" i="5"/>
  <c r="BJ276" i="5" s="1"/>
  <c r="AR392" i="5"/>
  <c r="AR276" i="5"/>
  <c r="AR139" i="5"/>
  <c r="AQ139" i="5"/>
  <c r="BI441" i="5"/>
  <c r="BJ441" i="5" s="1"/>
  <c r="AR156" i="5"/>
  <c r="BI477" i="5"/>
  <c r="BK477" i="5" s="1"/>
  <c r="AQ318" i="5"/>
  <c r="AR296" i="5"/>
  <c r="AR517" i="5"/>
  <c r="BI400" i="5"/>
  <c r="BJ400" i="5" s="1"/>
  <c r="AR519" i="5"/>
  <c r="AR254" i="5"/>
  <c r="AQ390" i="5"/>
  <c r="AQ517" i="5"/>
  <c r="AQ319" i="5"/>
  <c r="AQ48" i="5"/>
  <c r="AQ60" i="5"/>
  <c r="BI493" i="5"/>
  <c r="BJ493" i="5" s="1"/>
  <c r="AQ400" i="5"/>
  <c r="AR512" i="5"/>
  <c r="AQ254" i="5"/>
  <c r="AR319" i="5"/>
  <c r="BI424" i="5"/>
  <c r="BJ424" i="5" s="1"/>
  <c r="BI60" i="5"/>
  <c r="BK60" i="5" s="1"/>
  <c r="AQ513" i="5"/>
  <c r="AR110" i="5"/>
  <c r="AQ348" i="5"/>
  <c r="AQ278" i="5"/>
  <c r="BI317" i="5"/>
  <c r="BK317" i="5" s="1"/>
  <c r="BI295" i="5"/>
  <c r="BK295" i="5" s="1"/>
  <c r="BI110" i="5"/>
  <c r="BJ110" i="5" s="1"/>
  <c r="BI348" i="5"/>
  <c r="BJ348" i="5" s="1"/>
  <c r="AQ322" i="5"/>
  <c r="AR317" i="5"/>
  <c r="AR460" i="5"/>
  <c r="AR295" i="5"/>
  <c r="AR207" i="5"/>
  <c r="AR191" i="5"/>
  <c r="AQ530" i="5"/>
  <c r="AA125" i="4"/>
  <c r="AC125" i="4" s="1"/>
  <c r="AD125" i="4" s="1"/>
  <c r="AQ207" i="5"/>
  <c r="BI191" i="5"/>
  <c r="BJ191" i="5" s="1"/>
  <c r="AR530" i="5"/>
  <c r="AQ301" i="5"/>
  <c r="BI537" i="5"/>
  <c r="BK537" i="5" s="1"/>
  <c r="AR441" i="5"/>
  <c r="BI83" i="5"/>
  <c r="BK83" i="5" s="1"/>
  <c r="BI301" i="5"/>
  <c r="BK301" i="5" s="1"/>
  <c r="AQ264" i="5"/>
  <c r="AQ537" i="5"/>
  <c r="AQ83" i="5"/>
  <c r="AQ234" i="5"/>
  <c r="BI405" i="5"/>
  <c r="BJ405" i="5" s="1"/>
  <c r="BI264" i="5"/>
  <c r="BK264" i="5" s="1"/>
  <c r="AQ233" i="5"/>
  <c r="AR234" i="5"/>
  <c r="AR364" i="5"/>
  <c r="AR435" i="5"/>
  <c r="AR420" i="5"/>
  <c r="AR309" i="5"/>
  <c r="AR405" i="5"/>
  <c r="BI233" i="5"/>
  <c r="BK233" i="5" s="1"/>
  <c r="BI495" i="5"/>
  <c r="BK495" i="5" s="1"/>
  <c r="AQ435" i="5"/>
  <c r="AQ420" i="5"/>
  <c r="Z109" i="4"/>
  <c r="AK109" i="4" s="1"/>
  <c r="AL109" i="4" s="1"/>
  <c r="AQ309" i="5"/>
  <c r="BI447" i="5"/>
  <c r="BK447" i="5" s="1"/>
  <c r="AR114" i="5"/>
  <c r="AR25" i="5"/>
  <c r="AQ495" i="5"/>
  <c r="AR447" i="5"/>
  <c r="AQ114" i="5"/>
  <c r="AR87" i="5"/>
  <c r="AR278" i="5"/>
  <c r="AQ430" i="5"/>
  <c r="BI542" i="5"/>
  <c r="BJ542" i="5" s="1"/>
  <c r="AQ271" i="5"/>
  <c r="BI25" i="5"/>
  <c r="BJ25" i="5" s="1"/>
  <c r="AR465" i="5"/>
  <c r="AR430" i="5"/>
  <c r="AQ542" i="5"/>
  <c r="AR271" i="5"/>
  <c r="BI238" i="5"/>
  <c r="BJ238" i="5" s="1"/>
  <c r="AQ87" i="5"/>
  <c r="BI460" i="5"/>
  <c r="BJ460" i="5" s="1"/>
  <c r="AQ465" i="5"/>
  <c r="AQ238" i="5"/>
  <c r="AQ283" i="5"/>
  <c r="AQ79" i="5"/>
  <c r="AQ370" i="5"/>
  <c r="BI390" i="5"/>
  <c r="BJ390" i="5" s="1"/>
  <c r="AR283" i="5"/>
  <c r="AR439" i="5"/>
  <c r="AR37" i="5"/>
  <c r="AQ519" i="5"/>
  <c r="BI163" i="5"/>
  <c r="BK163" i="5" s="1"/>
  <c r="AR147" i="5"/>
  <c r="BI37" i="5"/>
  <c r="BJ37" i="5" s="1"/>
  <c r="AR185" i="5"/>
  <c r="AQ503" i="5"/>
  <c r="AR36" i="5"/>
  <c r="AQ185" i="5"/>
  <c r="AR393" i="5"/>
  <c r="AR448" i="5"/>
  <c r="AQ145" i="5"/>
  <c r="BI322" i="5"/>
  <c r="BJ322" i="5" s="1"/>
  <c r="BI58" i="5"/>
  <c r="BK58" i="5" s="1"/>
  <c r="AR145" i="5"/>
  <c r="AR210" i="5"/>
  <c r="BI153" i="5"/>
  <c r="BK153" i="5" s="1"/>
  <c r="BI269" i="5"/>
  <c r="BJ269" i="5" s="1"/>
  <c r="BI492" i="5"/>
  <c r="BJ492" i="5" s="1"/>
  <c r="BI59" i="5"/>
  <c r="BJ59" i="5" s="1"/>
  <c r="BI349" i="5"/>
  <c r="BJ349" i="5" s="1"/>
  <c r="BI508" i="5"/>
  <c r="BJ508" i="5" s="1"/>
  <c r="AQ349" i="5"/>
  <c r="AR520" i="5"/>
  <c r="AR508" i="5"/>
  <c r="AQ273" i="5"/>
  <c r="BI498" i="5"/>
  <c r="BJ498" i="5" s="1"/>
  <c r="AR273" i="5"/>
  <c r="BI458" i="5"/>
  <c r="BK458" i="5" s="1"/>
  <c r="AA126" i="4"/>
  <c r="AP126" i="4" s="1"/>
  <c r="AR458" i="5"/>
  <c r="BI294" i="5"/>
  <c r="BJ294" i="5" s="1"/>
  <c r="AR469" i="5"/>
  <c r="AR129" i="5"/>
  <c r="AR294" i="5"/>
  <c r="AQ469" i="5"/>
  <c r="BI129" i="5"/>
  <c r="BK129" i="5" s="1"/>
  <c r="AR369" i="5"/>
  <c r="AR335" i="5"/>
  <c r="BI335" i="5"/>
  <c r="BJ335" i="5" s="1"/>
  <c r="AR507" i="5"/>
  <c r="AQ402" i="5"/>
  <c r="BI484" i="5"/>
  <c r="BK484" i="5" s="1"/>
  <c r="AQ65" i="5"/>
  <c r="AR484" i="5"/>
  <c r="BI65" i="5"/>
  <c r="BK65" i="5" s="1"/>
  <c r="AQ360" i="5"/>
  <c r="BI35" i="5"/>
  <c r="BJ35" i="5" s="1"/>
  <c r="Z148" i="4"/>
  <c r="AN148" i="4" s="1"/>
  <c r="BI300" i="5"/>
  <c r="BK300" i="5" s="1"/>
  <c r="AR196" i="5"/>
  <c r="Z126" i="4"/>
  <c r="AK126" i="4" s="1"/>
  <c r="AL126" i="4" s="1"/>
  <c r="BI360" i="5"/>
  <c r="BK360" i="5" s="1"/>
  <c r="BI393" i="5"/>
  <c r="BJ393" i="5" s="1"/>
  <c r="AQ35" i="5"/>
  <c r="AR204" i="5"/>
  <c r="AR300" i="5"/>
  <c r="AQ196" i="5"/>
  <c r="AQ66" i="5"/>
  <c r="BI459" i="5"/>
  <c r="BJ459" i="5" s="1"/>
  <c r="AR395" i="5"/>
  <c r="BI503" i="5"/>
  <c r="BJ503" i="5" s="1"/>
  <c r="AR450" i="5"/>
  <c r="AR459" i="5"/>
  <c r="AQ56" i="5"/>
  <c r="AQ364" i="5"/>
  <c r="AR506" i="5"/>
  <c r="BI555" i="5"/>
  <c r="BK555" i="5" s="1"/>
  <c r="AQ123" i="5"/>
  <c r="AQ320" i="5"/>
  <c r="BI180" i="5"/>
  <c r="BJ180" i="5" s="1"/>
  <c r="AQ147" i="5"/>
  <c r="AR498" i="5"/>
  <c r="AR123" i="5"/>
  <c r="AR320" i="5"/>
  <c r="AQ245" i="5"/>
  <c r="AQ45" i="5"/>
  <c r="AQ538" i="5"/>
  <c r="AQ180" i="5"/>
  <c r="AR245" i="5"/>
  <c r="AR134" i="5"/>
  <c r="AR538" i="5"/>
  <c r="BI56" i="5"/>
  <c r="BK56" i="5" s="1"/>
  <c r="AR451" i="5"/>
  <c r="BI310" i="5"/>
  <c r="BK310" i="5" s="1"/>
  <c r="BI506" i="5"/>
  <c r="BJ506" i="5" s="1"/>
  <c r="AQ69" i="5"/>
  <c r="BI427" i="5"/>
  <c r="BJ427" i="5" s="1"/>
  <c r="BI488" i="5"/>
  <c r="BJ488" i="5" s="1"/>
  <c r="AQ451" i="5"/>
  <c r="AR310" i="5"/>
  <c r="BI69" i="5"/>
  <c r="BJ69" i="5" s="1"/>
  <c r="AR67" i="5"/>
  <c r="AQ134" i="5"/>
  <c r="AQ86" i="5"/>
  <c r="AQ422" i="5"/>
  <c r="BI34" i="5"/>
  <c r="BK34" i="5" s="1"/>
  <c r="AQ488" i="5"/>
  <c r="AR427" i="5"/>
  <c r="AA154" i="4"/>
  <c r="AC154" i="4" s="1"/>
  <c r="AD154" i="4" s="1"/>
  <c r="AQ354" i="5"/>
  <c r="BI67" i="5"/>
  <c r="BK67" i="5" s="1"/>
  <c r="AR383" i="5"/>
  <c r="AQ81" i="5"/>
  <c r="BI378" i="5"/>
  <c r="BK378" i="5" s="1"/>
  <c r="AQ41" i="5"/>
  <c r="AR422" i="5"/>
  <c r="BI296" i="5"/>
  <c r="BJ296" i="5" s="1"/>
  <c r="AR34" i="5"/>
  <c r="AQ550" i="5"/>
  <c r="BI62" i="5"/>
  <c r="BJ62" i="5" s="1"/>
  <c r="Z154" i="4"/>
  <c r="AK154" i="4" s="1"/>
  <c r="AL154" i="4" s="1"/>
  <c r="BI354" i="5"/>
  <c r="BK354" i="5" s="1"/>
  <c r="BI413" i="5"/>
  <c r="BK413" i="5" s="1"/>
  <c r="AQ384" i="5"/>
  <c r="AQ383" i="5"/>
  <c r="AQ44" i="5"/>
  <c r="AR81" i="5"/>
  <c r="AR107" i="5"/>
  <c r="BI251" i="5"/>
  <c r="BK251" i="5" s="1"/>
  <c r="AQ332" i="5"/>
  <c r="AQ555" i="5"/>
  <c r="AR550" i="5"/>
  <c r="AQ62" i="5"/>
  <c r="AQ413" i="5"/>
  <c r="AR384" i="5"/>
  <c r="BI455" i="5"/>
  <c r="BJ455" i="5" s="1"/>
  <c r="AQ251" i="5"/>
  <c r="AQ534" i="5"/>
  <c r="AQ99" i="5"/>
  <c r="AR387" i="5"/>
  <c r="AQ221" i="5"/>
  <c r="BI357" i="5"/>
  <c r="BJ357" i="5" s="1"/>
  <c r="AQ357" i="5"/>
  <c r="AQ520" i="5"/>
  <c r="AQ269" i="5"/>
  <c r="AQ200" i="5"/>
  <c r="BI155" i="5"/>
  <c r="BK155" i="5" s="1"/>
  <c r="AQ36" i="5"/>
  <c r="BI157" i="5"/>
  <c r="BK157" i="5" s="1"/>
  <c r="BI232" i="5"/>
  <c r="BJ232" i="5" s="1"/>
  <c r="AR455" i="5"/>
  <c r="AR534" i="5"/>
  <c r="BI99" i="5"/>
  <c r="BK99" i="5" s="1"/>
  <c r="BI387" i="5"/>
  <c r="BJ387" i="5" s="1"/>
  <c r="AR155" i="5"/>
  <c r="AQ157" i="5"/>
  <c r="AR232" i="5"/>
  <c r="BI507" i="5"/>
  <c r="BK507" i="5" s="1"/>
  <c r="BI450" i="5"/>
  <c r="BK450" i="5" s="1"/>
  <c r="BI44" i="5"/>
  <c r="BK44" i="5" s="1"/>
  <c r="BI332" i="5"/>
  <c r="BK332" i="5" s="1"/>
  <c r="AQ492" i="5"/>
  <c r="AQ162" i="5"/>
  <c r="AR41" i="5"/>
  <c r="AQ552" i="5"/>
  <c r="BI263" i="5"/>
  <c r="BJ263" i="5" s="1"/>
  <c r="AQ204" i="5"/>
  <c r="AQ378" i="5"/>
  <c r="AQ113" i="5"/>
  <c r="BI266" i="5"/>
  <c r="BK266" i="5" s="1"/>
  <c r="AR291" i="5"/>
  <c r="BI86" i="5"/>
  <c r="BJ86" i="5" s="1"/>
  <c r="AQ315" i="5"/>
  <c r="AQ95" i="5"/>
  <c r="AQ118" i="5"/>
  <c r="BI325" i="5"/>
  <c r="BK325" i="5" s="1"/>
  <c r="BI75" i="5"/>
  <c r="BK75" i="5" s="1"/>
  <c r="BI552" i="5"/>
  <c r="BJ552" i="5" s="1"/>
  <c r="AR211" i="5"/>
  <c r="AR113" i="5"/>
  <c r="AQ266" i="5"/>
  <c r="AQ199" i="5"/>
  <c r="AQ120" i="5"/>
  <c r="BI95" i="5"/>
  <c r="BJ95" i="5" s="1"/>
  <c r="AR325" i="5"/>
  <c r="AR426" i="5"/>
  <c r="AR75" i="5"/>
  <c r="AQ211" i="5"/>
  <c r="BI426" i="5"/>
  <c r="BK426" i="5" s="1"/>
  <c r="AQ404" i="5"/>
  <c r="AQ258" i="5"/>
  <c r="AR22" i="5"/>
  <c r="BI100" i="5"/>
  <c r="BK100" i="5" s="1"/>
  <c r="BI540" i="5"/>
  <c r="BK540" i="5" s="1"/>
  <c r="BI50" i="5"/>
  <c r="BK50" i="5" s="1"/>
  <c r="BI144" i="5"/>
  <c r="BJ144" i="5" s="1"/>
  <c r="BI404" i="5"/>
  <c r="BK404" i="5" s="1"/>
  <c r="BI258" i="5"/>
  <c r="BK258" i="5" s="1"/>
  <c r="AQ22" i="5"/>
  <c r="AQ100" i="5"/>
  <c r="AQ540" i="5"/>
  <c r="AR50" i="5"/>
  <c r="AQ215" i="5"/>
  <c r="AQ144" i="5"/>
  <c r="AQ293" i="5"/>
  <c r="AR226" i="5"/>
  <c r="AR215" i="5"/>
  <c r="AQ175" i="5"/>
  <c r="BI293" i="5"/>
  <c r="BK293" i="5" s="1"/>
  <c r="AQ297" i="5"/>
  <c r="AR175" i="5"/>
  <c r="AQ527" i="5"/>
  <c r="AQ93" i="5"/>
  <c r="AR388" i="5"/>
  <c r="BI51" i="5"/>
  <c r="BJ51" i="5" s="1"/>
  <c r="BI297" i="5"/>
  <c r="BK297" i="5" s="1"/>
  <c r="BI197" i="5"/>
  <c r="BK197" i="5" s="1"/>
  <c r="AR130" i="5"/>
  <c r="BI115" i="5"/>
  <c r="BK115" i="5" s="1"/>
  <c r="BI527" i="5"/>
  <c r="BJ527" i="5" s="1"/>
  <c r="BI93" i="5"/>
  <c r="BK93" i="5" s="1"/>
  <c r="AR51" i="5"/>
  <c r="AR197" i="5"/>
  <c r="AQ91" i="5"/>
  <c r="AQ115" i="5"/>
  <c r="AR189" i="5"/>
  <c r="BI388" i="5"/>
  <c r="BJ388" i="5" s="1"/>
  <c r="AQ152" i="5"/>
  <c r="BI265" i="5"/>
  <c r="BJ265" i="5" s="1"/>
  <c r="AR548" i="5"/>
  <c r="AR334" i="5"/>
  <c r="BI152" i="5"/>
  <c r="BJ152" i="5" s="1"/>
  <c r="AQ165" i="5"/>
  <c r="AR206" i="5"/>
  <c r="BI91" i="5"/>
  <c r="BJ91" i="5" s="1"/>
  <c r="AR396" i="5"/>
  <c r="BI168" i="5"/>
  <c r="BK168" i="5" s="1"/>
  <c r="AQ334" i="5"/>
  <c r="AQ206" i="5"/>
  <c r="AR470" i="5"/>
  <c r="AR59" i="5"/>
  <c r="AR265" i="5"/>
  <c r="BI548" i="5"/>
  <c r="BJ548" i="5" s="1"/>
  <c r="AR165" i="5"/>
  <c r="AR45" i="5"/>
  <c r="AR58" i="5"/>
  <c r="BI218" i="5"/>
  <c r="BK218" i="5" s="1"/>
  <c r="Z73" i="4"/>
  <c r="AK73" i="4" s="1"/>
  <c r="AL73" i="4" s="1"/>
  <c r="AA73" i="4"/>
  <c r="AQ73" i="4" s="1"/>
  <c r="Z92" i="4"/>
  <c r="AK92" i="4" s="1"/>
  <c r="AL92" i="4" s="1"/>
  <c r="Z56" i="4"/>
  <c r="X56" i="4" s="1"/>
  <c r="AK56" i="4" s="1"/>
  <c r="AL56" i="4" s="1"/>
  <c r="AA127" i="4"/>
  <c r="AC127" i="4" s="1"/>
  <c r="AD127" i="4" s="1"/>
  <c r="Z151" i="4"/>
  <c r="AN151" i="4" s="1"/>
  <c r="AR94" i="5"/>
  <c r="AQ94" i="5"/>
  <c r="BI523" i="5"/>
  <c r="BJ523" i="5" s="1"/>
  <c r="AR437" i="5"/>
  <c r="AQ523" i="5"/>
  <c r="AR307" i="5"/>
  <c r="BI437" i="5"/>
  <c r="BJ437" i="5" s="1"/>
  <c r="AQ307" i="5"/>
  <c r="AQ505" i="5"/>
  <c r="BI505" i="5"/>
  <c r="BJ505" i="5" s="1"/>
  <c r="AQ290" i="5"/>
  <c r="AR199" i="5"/>
  <c r="AR247" i="5"/>
  <c r="AJ43" i="4"/>
  <c r="AA43" i="4"/>
  <c r="AP43" i="4" s="1"/>
  <c r="AA58" i="4"/>
  <c r="AQ58" i="4" s="1"/>
  <c r="AA46" i="4"/>
  <c r="AQ46" i="4" s="1"/>
  <c r="AJ46" i="4"/>
  <c r="AA49" i="4"/>
  <c r="AP49" i="4" s="1"/>
  <c r="AA56" i="4"/>
  <c r="AQ56" i="4" s="1"/>
  <c r="AJ51" i="4"/>
  <c r="AA51" i="4"/>
  <c r="AQ51" i="4" s="1"/>
  <c r="AJ48" i="4"/>
  <c r="AA48" i="4"/>
  <c r="AP48" i="4" s="1"/>
  <c r="AA39" i="4"/>
  <c r="AQ39" i="4" s="1"/>
  <c r="AJ39" i="4"/>
  <c r="AA52" i="4"/>
  <c r="AP52" i="4" s="1"/>
  <c r="AJ52" i="4"/>
  <c r="AR221" i="5"/>
  <c r="AR121" i="5"/>
  <c r="AQ340" i="5"/>
  <c r="AQ313" i="5"/>
  <c r="X64" i="4"/>
  <c r="AJ64" i="4" s="1"/>
  <c r="AQ443" i="5"/>
  <c r="AQ53" i="5"/>
  <c r="BI130" i="5"/>
  <c r="BK130" i="5" s="1"/>
  <c r="AR347" i="5"/>
  <c r="AR313" i="5"/>
  <c r="BI53" i="5"/>
  <c r="BK53" i="5" s="1"/>
  <c r="BI347" i="5"/>
  <c r="BJ347" i="5" s="1"/>
  <c r="AQ189" i="5"/>
  <c r="BI109" i="5"/>
  <c r="BJ109" i="5" s="1"/>
  <c r="AQ554" i="5"/>
  <c r="X42" i="4"/>
  <c r="AJ42" i="4" s="1"/>
  <c r="AA53" i="4"/>
  <c r="AP53" i="4" s="1"/>
  <c r="AQ109" i="5"/>
  <c r="BI554" i="5"/>
  <c r="BJ554" i="5" s="1"/>
  <c r="X45" i="4"/>
  <c r="AJ45" i="4" s="1"/>
  <c r="X49" i="4"/>
  <c r="AJ49" i="4" s="1"/>
  <c r="AQ522" i="5"/>
  <c r="AR522" i="5"/>
  <c r="AR240" i="5"/>
  <c r="AR314" i="5"/>
  <c r="AQ337" i="5"/>
  <c r="AQ240" i="5"/>
  <c r="AA44" i="4"/>
  <c r="AQ44" i="4" s="1"/>
  <c r="BI314" i="5"/>
  <c r="BJ314" i="5" s="1"/>
  <c r="AR350" i="5"/>
  <c r="AQ102" i="5"/>
  <c r="AR440" i="5"/>
  <c r="AQ381" i="5"/>
  <c r="AQ142" i="5"/>
  <c r="BI350" i="5"/>
  <c r="BJ350" i="5" s="1"/>
  <c r="AR102" i="5"/>
  <c r="X40" i="4"/>
  <c r="AJ40" i="4" s="1"/>
  <c r="AR371" i="5"/>
  <c r="AR381" i="5"/>
  <c r="BI464" i="5"/>
  <c r="BJ464" i="5" s="1"/>
  <c r="BI142" i="5"/>
  <c r="BK142" i="5" s="1"/>
  <c r="BI371" i="5"/>
  <c r="BJ371" i="5" s="1"/>
  <c r="AA41" i="4"/>
  <c r="AQ41" i="4" s="1"/>
  <c r="AQ464" i="5"/>
  <c r="BI454" i="5"/>
  <c r="BJ454" i="5" s="1"/>
  <c r="AQ97" i="5"/>
  <c r="AR169" i="5"/>
  <c r="AQ457" i="5"/>
  <c r="BI97" i="5"/>
  <c r="BK97" i="5" s="1"/>
  <c r="X50" i="4"/>
  <c r="AJ50" i="4" s="1"/>
  <c r="AQ558" i="5"/>
  <c r="BI248" i="5"/>
  <c r="BJ248" i="5" s="1"/>
  <c r="AQ169" i="5"/>
  <c r="BI457" i="5"/>
  <c r="BJ457" i="5" s="1"/>
  <c r="AR312" i="5"/>
  <c r="AR57" i="5"/>
  <c r="AR104" i="5"/>
  <c r="AR558" i="5"/>
  <c r="BI398" i="5"/>
  <c r="BJ398" i="5" s="1"/>
  <c r="AQ248" i="5"/>
  <c r="BI308" i="5"/>
  <c r="BK308" i="5" s="1"/>
  <c r="BI312" i="5"/>
  <c r="BJ312" i="5" s="1"/>
  <c r="BI198" i="5"/>
  <c r="BJ198" i="5" s="1"/>
  <c r="BI104" i="5"/>
  <c r="BJ104" i="5" s="1"/>
  <c r="AR398" i="5"/>
  <c r="AQ409" i="5"/>
  <c r="BI210" i="5"/>
  <c r="BK210" i="5" s="1"/>
  <c r="AQ308" i="5"/>
  <c r="AR351" i="5"/>
  <c r="BI120" i="5"/>
  <c r="BJ120" i="5" s="1"/>
  <c r="AR198" i="5"/>
  <c r="AR66" i="5"/>
  <c r="BI351" i="5"/>
  <c r="BJ351" i="5" s="1"/>
  <c r="AJ37" i="4"/>
  <c r="AA37" i="4"/>
  <c r="AC37" i="4" s="1"/>
  <c r="AD37" i="4" s="1"/>
  <c r="AJ31" i="4"/>
  <c r="AA31" i="4"/>
  <c r="AQ31" i="4" s="1"/>
  <c r="AA36" i="4"/>
  <c r="AQ36" i="4" s="1"/>
  <c r="AJ27" i="4"/>
  <c r="AA27" i="4"/>
  <c r="AP27" i="4" s="1"/>
  <c r="AJ28" i="4"/>
  <c r="AA28" i="4"/>
  <c r="AQ28" i="4" s="1"/>
  <c r="AA33" i="4"/>
  <c r="AP33" i="4" s="1"/>
  <c r="AJ33" i="4"/>
  <c r="AJ35" i="4"/>
  <c r="AA35" i="4"/>
  <c r="AP35" i="4" s="1"/>
  <c r="AJ34" i="4"/>
  <c r="AA34" i="4"/>
  <c r="AQ34" i="4" s="1"/>
  <c r="AJ29" i="4"/>
  <c r="AA29" i="4"/>
  <c r="AC29" i="4" s="1"/>
  <c r="AD29" i="4" s="1"/>
  <c r="AJ30" i="4"/>
  <c r="AA30" i="4"/>
  <c r="AP30" i="4" s="1"/>
  <c r="X36" i="4"/>
  <c r="AJ36" i="4" s="1"/>
  <c r="AQ107" i="5"/>
  <c r="BI448" i="5"/>
  <c r="BK448" i="5" s="1"/>
  <c r="AQ408" i="5"/>
  <c r="BI125" i="5"/>
  <c r="BK125" i="5" s="1"/>
  <c r="AR408" i="5"/>
  <c r="AR125" i="5"/>
  <c r="BI327" i="5"/>
  <c r="BK327" i="5" s="1"/>
  <c r="AR327" i="5"/>
  <c r="BI362" i="5"/>
  <c r="BK362" i="5" s="1"/>
  <c r="AR362" i="5"/>
  <c r="X26" i="4"/>
  <c r="AJ26" i="4" s="1"/>
  <c r="BI188" i="5"/>
  <c r="BJ188" i="5" s="1"/>
  <c r="X32" i="4"/>
  <c r="AJ32" i="4" s="1"/>
  <c r="BI116" i="5"/>
  <c r="BJ116" i="5" s="1"/>
  <c r="AQ188" i="5"/>
  <c r="BI179" i="5"/>
  <c r="BJ179" i="5" s="1"/>
  <c r="AR543" i="5"/>
  <c r="AR328" i="5"/>
  <c r="BI543" i="5"/>
  <c r="BJ543" i="5" s="1"/>
  <c r="BI328" i="5"/>
  <c r="BJ328" i="5" s="1"/>
  <c r="AR249" i="5"/>
  <c r="BI226" i="5"/>
  <c r="BJ226" i="5" s="1"/>
  <c r="AQ463" i="5"/>
  <c r="AQ392" i="5"/>
  <c r="BI249" i="5"/>
  <c r="BK249" i="5" s="1"/>
  <c r="AQ316" i="5"/>
  <c r="BI79" i="5"/>
  <c r="BK79" i="5" s="1"/>
  <c r="AR333" i="5"/>
  <c r="BI7" i="5"/>
  <c r="BJ7" i="5" s="1"/>
  <c r="AQ425" i="5"/>
  <c r="AR385" i="5"/>
  <c r="AQ479" i="5"/>
  <c r="AR236" i="5"/>
  <c r="BI423" i="5"/>
  <c r="BK423" i="5" s="1"/>
  <c r="BI551" i="5"/>
  <c r="BJ551" i="5" s="1"/>
  <c r="AQ61" i="5"/>
  <c r="BI280" i="5"/>
  <c r="BK280" i="5" s="1"/>
  <c r="AA76" i="4"/>
  <c r="AQ76" i="4" s="1"/>
  <c r="AR30" i="5"/>
  <c r="AR479" i="5"/>
  <c r="BI166" i="5"/>
  <c r="BK166" i="5" s="1"/>
  <c r="AQ236" i="5"/>
  <c r="AQ551" i="5"/>
  <c r="AR280" i="5"/>
  <c r="BI315" i="5"/>
  <c r="BJ315" i="5" s="1"/>
  <c r="AQ121" i="5"/>
  <c r="AQ57" i="5"/>
  <c r="AR38" i="5"/>
  <c r="AQ440" i="5"/>
  <c r="BI89" i="5"/>
  <c r="BJ89" i="5" s="1"/>
  <c r="AQ474" i="5"/>
  <c r="BI341" i="5"/>
  <c r="BJ341" i="5" s="1"/>
  <c r="AQ38" i="5"/>
  <c r="AQ89" i="5"/>
  <c r="BI474" i="5"/>
  <c r="BJ474" i="5" s="1"/>
  <c r="AR531" i="5"/>
  <c r="AR341" i="5"/>
  <c r="BI531" i="5"/>
  <c r="BJ531" i="5" s="1"/>
  <c r="AQ494" i="5"/>
  <c r="BI255" i="5"/>
  <c r="BK255" i="5" s="1"/>
  <c r="AR494" i="5"/>
  <c r="AR425" i="5"/>
  <c r="AR255" i="5"/>
  <c r="AR549" i="5"/>
  <c r="AR547" i="5"/>
  <c r="BI539" i="5"/>
  <c r="BJ539" i="5" s="1"/>
  <c r="BI72" i="5"/>
  <c r="BJ72" i="5" s="1"/>
  <c r="AQ549" i="5"/>
  <c r="AQ547" i="5"/>
  <c r="AQ539" i="5"/>
  <c r="BI433" i="5"/>
  <c r="BJ433" i="5" s="1"/>
  <c r="AR72" i="5"/>
  <c r="AR316" i="5"/>
  <c r="AQ30" i="5"/>
  <c r="AQ433" i="5"/>
  <c r="BI187" i="5"/>
  <c r="BJ187" i="5" s="1"/>
  <c r="AR195" i="5"/>
  <c r="AR90" i="5"/>
  <c r="AR353" i="5"/>
  <c r="AQ187" i="5"/>
  <c r="AR311" i="5"/>
  <c r="AQ116" i="5"/>
  <c r="AQ195" i="5"/>
  <c r="BI90" i="5"/>
  <c r="BJ90" i="5" s="1"/>
  <c r="BI299" i="5"/>
  <c r="BK299" i="5" s="1"/>
  <c r="BI353" i="5"/>
  <c r="BJ353" i="5" s="1"/>
  <c r="AQ225" i="5"/>
  <c r="AQ359" i="5"/>
  <c r="BI311" i="5"/>
  <c r="BK311" i="5" s="1"/>
  <c r="AQ156" i="5"/>
  <c r="AR377" i="5"/>
  <c r="AQ299" i="5"/>
  <c r="AQ262" i="5"/>
  <c r="AQ502" i="5"/>
  <c r="BI225" i="5"/>
  <c r="BJ225" i="5" s="1"/>
  <c r="BI359" i="5"/>
  <c r="BK359" i="5" s="1"/>
  <c r="BI288" i="5"/>
  <c r="BK288" i="5" s="1"/>
  <c r="BI377" i="5"/>
  <c r="BK377" i="5" s="1"/>
  <c r="AR461" i="5"/>
  <c r="AR262" i="5"/>
  <c r="AR46" i="5"/>
  <c r="BI502" i="5"/>
  <c r="BJ502" i="5" s="1"/>
  <c r="AQ556" i="5"/>
  <c r="AR288" i="5"/>
  <c r="AR337" i="5"/>
  <c r="BI247" i="5"/>
  <c r="BJ247" i="5" s="1"/>
  <c r="BI461" i="5"/>
  <c r="BJ461" i="5" s="1"/>
  <c r="AQ385" i="5"/>
  <c r="AQ46" i="5"/>
  <c r="AQ423" i="5"/>
  <c r="BI556" i="5"/>
  <c r="BK556" i="5" s="1"/>
  <c r="AR61" i="5"/>
  <c r="BI396" i="5"/>
  <c r="BJ396" i="5" s="1"/>
  <c r="Z55" i="4"/>
  <c r="AQ10" i="5"/>
  <c r="Z54" i="4"/>
  <c r="Z105" i="4"/>
  <c r="AK105" i="4" s="1"/>
  <c r="AL105" i="4" s="1"/>
  <c r="AA151" i="4"/>
  <c r="AQ151" i="4" s="1"/>
  <c r="AA105" i="4"/>
  <c r="AQ105" i="4" s="1"/>
  <c r="Z142" i="4"/>
  <c r="AN142" i="4" s="1"/>
  <c r="AA148" i="4"/>
  <c r="AP148" i="4" s="1"/>
  <c r="AA142" i="4"/>
  <c r="AP142" i="4" s="1"/>
  <c r="Z78" i="4"/>
  <c r="AK78" i="4" s="1"/>
  <c r="AL78" i="4" s="1"/>
  <c r="AA85" i="4"/>
  <c r="AP85" i="4" s="1"/>
  <c r="AA129" i="4"/>
  <c r="AC129" i="4" s="1"/>
  <c r="AD129" i="4" s="1"/>
  <c r="Z85" i="4"/>
  <c r="AN85" i="4" s="1"/>
  <c r="Z129" i="4"/>
  <c r="AN129" i="4" s="1"/>
  <c r="AA114" i="4"/>
  <c r="AC114" i="4" s="1"/>
  <c r="AD114" i="4" s="1"/>
  <c r="Z63" i="4"/>
  <c r="AN63" i="4" s="1"/>
  <c r="Z114" i="4"/>
  <c r="AK114" i="4" s="1"/>
  <c r="AL114" i="4" s="1"/>
  <c r="AA78" i="4"/>
  <c r="AQ78" i="4" s="1"/>
  <c r="Z134" i="4"/>
  <c r="AK134" i="4" s="1"/>
  <c r="AL134" i="4" s="1"/>
  <c r="AA117" i="4"/>
  <c r="AQ117" i="4" s="1"/>
  <c r="Z61" i="4"/>
  <c r="AA134" i="4"/>
  <c r="AP134" i="4" s="1"/>
  <c r="Z152" i="4"/>
  <c r="AN152" i="4" s="1"/>
  <c r="AA152" i="4"/>
  <c r="AP152" i="4" s="1"/>
  <c r="Z101" i="4"/>
  <c r="AF101" i="4" s="1"/>
  <c r="AG101" i="4" s="1"/>
  <c r="AI101" i="4" s="1"/>
  <c r="AA149" i="4"/>
  <c r="AQ149" i="4" s="1"/>
  <c r="AA155" i="4"/>
  <c r="AP155" i="4" s="1"/>
  <c r="Z133" i="4"/>
  <c r="AN133" i="4" s="1"/>
  <c r="Z69" i="4"/>
  <c r="AK69" i="4" s="1"/>
  <c r="AL69" i="4" s="1"/>
  <c r="Z95" i="4"/>
  <c r="AN95" i="4" s="1"/>
  <c r="Z110" i="4"/>
  <c r="AN110" i="4" s="1"/>
  <c r="AA97" i="4"/>
  <c r="AP97" i="4" s="1"/>
  <c r="Z111" i="4"/>
  <c r="AK111" i="4" s="1"/>
  <c r="AL111" i="4" s="1"/>
  <c r="AA113" i="4"/>
  <c r="AQ113" i="4" s="1"/>
  <c r="Z106" i="4"/>
  <c r="AN106" i="4" s="1"/>
  <c r="AA95" i="4"/>
  <c r="AQ95" i="4" s="1"/>
  <c r="Z65" i="4"/>
  <c r="AA112" i="4"/>
  <c r="AC112" i="4" s="1"/>
  <c r="AD112" i="4" s="1"/>
  <c r="AA110" i="4"/>
  <c r="AQ110" i="4" s="1"/>
  <c r="Z113" i="4"/>
  <c r="AK113" i="4" s="1"/>
  <c r="AL113" i="4" s="1"/>
  <c r="AA135" i="4"/>
  <c r="AC135" i="4" s="1"/>
  <c r="AD135" i="4" s="1"/>
  <c r="AA106" i="4"/>
  <c r="AC106" i="4" s="1"/>
  <c r="AD106" i="4" s="1"/>
  <c r="AA111" i="4"/>
  <c r="AP111" i="4" s="1"/>
  <c r="Z59" i="4"/>
  <c r="Z112" i="4"/>
  <c r="AK112" i="4" s="1"/>
  <c r="AL112" i="4" s="1"/>
  <c r="Z117" i="4"/>
  <c r="AK117" i="4" s="1"/>
  <c r="AL117" i="4" s="1"/>
  <c r="Z135" i="4"/>
  <c r="AN135" i="4" s="1"/>
  <c r="Z57" i="4"/>
  <c r="AA141" i="4"/>
  <c r="AQ141" i="4" s="1"/>
  <c r="AA156" i="4"/>
  <c r="AQ156" i="4" s="1"/>
  <c r="AA92" i="4"/>
  <c r="AQ92" i="4" s="1"/>
  <c r="AA79" i="4"/>
  <c r="AP79" i="4" s="1"/>
  <c r="Z94" i="4"/>
  <c r="AF94" i="4" s="1"/>
  <c r="AG94" i="4" s="1"/>
  <c r="AI94" i="4" s="1"/>
  <c r="Z140" i="4"/>
  <c r="AK140" i="4" s="1"/>
  <c r="AL140" i="4" s="1"/>
  <c r="AA108" i="4"/>
  <c r="AC108" i="4" s="1"/>
  <c r="AD108" i="4" s="1"/>
  <c r="Z137" i="4"/>
  <c r="AF137" i="4" s="1"/>
  <c r="AG137" i="4" s="1"/>
  <c r="AI137" i="4" s="1"/>
  <c r="Z141" i="4"/>
  <c r="AN141" i="4" s="1"/>
  <c r="Z90" i="4"/>
  <c r="AF90" i="4" s="1"/>
  <c r="AG90" i="4" s="1"/>
  <c r="AI90" i="4" s="1"/>
  <c r="Z67" i="4"/>
  <c r="AK67" i="4" s="1"/>
  <c r="AL67" i="4" s="1"/>
  <c r="AA137" i="4"/>
  <c r="AP137" i="4" s="1"/>
  <c r="Z156" i="4"/>
  <c r="AK156" i="4" s="1"/>
  <c r="AL156" i="4" s="1"/>
  <c r="AA94" i="4"/>
  <c r="AQ94" i="4" s="1"/>
  <c r="Z102" i="4"/>
  <c r="AN102" i="4" s="1"/>
  <c r="AA140" i="4"/>
  <c r="AC140" i="4" s="1"/>
  <c r="AD140" i="4" s="1"/>
  <c r="Z118" i="4"/>
  <c r="AK118" i="4" s="1"/>
  <c r="AL118" i="4" s="1"/>
  <c r="Z77" i="4"/>
  <c r="AN77" i="4" s="1"/>
  <c r="Z60" i="4"/>
  <c r="AA109" i="4"/>
  <c r="AP109" i="4" s="1"/>
  <c r="Z108" i="4"/>
  <c r="AK108" i="4" s="1"/>
  <c r="AL108" i="4" s="1"/>
  <c r="Z93" i="4"/>
  <c r="AN93" i="4" s="1"/>
  <c r="AA102" i="4"/>
  <c r="AQ102" i="4" s="1"/>
  <c r="AA90" i="4"/>
  <c r="AC90" i="4" s="1"/>
  <c r="AD90" i="4" s="1"/>
  <c r="AA77" i="4"/>
  <c r="AC77" i="4" s="1"/>
  <c r="AD77" i="4" s="1"/>
  <c r="Z79" i="4"/>
  <c r="AN79" i="4" s="1"/>
  <c r="AA93" i="4"/>
  <c r="AQ93" i="4" s="1"/>
  <c r="AA67" i="4"/>
  <c r="AC67" i="4" s="1"/>
  <c r="AD67" i="4" s="1"/>
  <c r="AA101" i="4"/>
  <c r="AP101" i="4" s="1"/>
  <c r="AA98" i="4"/>
  <c r="AP98" i="4" s="1"/>
  <c r="AA96" i="4"/>
  <c r="AQ96" i="4" s="1"/>
  <c r="Z149" i="4"/>
  <c r="AK149" i="4" s="1"/>
  <c r="AL149" i="4" s="1"/>
  <c r="AA81" i="4"/>
  <c r="AP81" i="4" s="1"/>
  <c r="Z98" i="4"/>
  <c r="AK98" i="4" s="1"/>
  <c r="AL98" i="4" s="1"/>
  <c r="AA136" i="4"/>
  <c r="AC136" i="4" s="1"/>
  <c r="AD136" i="4" s="1"/>
  <c r="Z96" i="4"/>
  <c r="AN96" i="4" s="1"/>
  <c r="Z75" i="4"/>
  <c r="AF75" i="4" s="1"/>
  <c r="AG75" i="4" s="1"/>
  <c r="AI75" i="4" s="1"/>
  <c r="Z122" i="4"/>
  <c r="AN122" i="4" s="1"/>
  <c r="AA143" i="4"/>
  <c r="AQ143" i="4" s="1"/>
  <c r="AA74" i="4"/>
  <c r="AP74" i="4" s="1"/>
  <c r="AA66" i="4"/>
  <c r="AQ66" i="4" s="1"/>
  <c r="Z81" i="4"/>
  <c r="AN81" i="4" s="1"/>
  <c r="Z136" i="4"/>
  <c r="AN136" i="4" s="1"/>
  <c r="Z89" i="4"/>
  <c r="AK89" i="4" s="1"/>
  <c r="AL89" i="4" s="1"/>
  <c r="AA75" i="4"/>
  <c r="AP75" i="4" s="1"/>
  <c r="AA133" i="4"/>
  <c r="AP133" i="4" s="1"/>
  <c r="Z66" i="4"/>
  <c r="AF66" i="4" s="1"/>
  <c r="AG66" i="4" s="1"/>
  <c r="AI66" i="4" s="1"/>
  <c r="AA122" i="4"/>
  <c r="AQ122" i="4" s="1"/>
  <c r="AA89" i="4"/>
  <c r="AQ89" i="4" s="1"/>
  <c r="Z82" i="4"/>
  <c r="AK82" i="4" s="1"/>
  <c r="AL82" i="4" s="1"/>
  <c r="Z143" i="4"/>
  <c r="AN143" i="4" s="1"/>
  <c r="AA121" i="4"/>
  <c r="AP121" i="4" s="1"/>
  <c r="Z155" i="4"/>
  <c r="AN155" i="4" s="1"/>
  <c r="Z74" i="4"/>
  <c r="AN74" i="4" s="1"/>
  <c r="Z121" i="4"/>
  <c r="AK121" i="4" s="1"/>
  <c r="AL121" i="4" s="1"/>
  <c r="AA82" i="4"/>
  <c r="AQ82" i="4" s="1"/>
  <c r="Z128" i="4"/>
  <c r="AK128" i="4" s="1"/>
  <c r="AL128" i="4" s="1"/>
  <c r="Z144" i="4"/>
  <c r="AK144" i="4" s="1"/>
  <c r="AL144" i="4" s="1"/>
  <c r="Z125" i="4"/>
  <c r="AN125" i="4" s="1"/>
  <c r="AA116" i="4"/>
  <c r="AC116" i="4" s="1"/>
  <c r="AD116" i="4" s="1"/>
  <c r="AA124" i="4"/>
  <c r="AQ124" i="4" s="1"/>
  <c r="AA144" i="4"/>
  <c r="AC144" i="4" s="1"/>
  <c r="AD144" i="4" s="1"/>
  <c r="Z76" i="4"/>
  <c r="AF76" i="4" s="1"/>
  <c r="AG76" i="4" s="1"/>
  <c r="AI76" i="4" s="1"/>
  <c r="Z97" i="4"/>
  <c r="AK97" i="4" s="1"/>
  <c r="AL97" i="4" s="1"/>
  <c r="Z116" i="4"/>
  <c r="AK116" i="4" s="1"/>
  <c r="AL116" i="4" s="1"/>
  <c r="Z124" i="4"/>
  <c r="AF124" i="4" s="1"/>
  <c r="AG124" i="4" s="1"/>
  <c r="AI124" i="4" s="1"/>
  <c r="AA128" i="4"/>
  <c r="AC128" i="4" s="1"/>
  <c r="AD128" i="4" s="1"/>
  <c r="AA69" i="4"/>
  <c r="AQ69" i="4" s="1"/>
  <c r="AA118" i="4"/>
  <c r="AQ118" i="4" s="1"/>
  <c r="Z62" i="4"/>
  <c r="AF62" i="4" s="1"/>
  <c r="AG62" i="4" s="1"/>
  <c r="AI62" i="4" s="1"/>
  <c r="AJ17" i="4"/>
  <c r="AA16" i="4"/>
  <c r="AC16" i="4" s="1"/>
  <c r="AD16" i="4" s="1"/>
  <c r="AA22" i="4"/>
  <c r="AC22" i="4" s="1"/>
  <c r="AD22" i="4" s="1"/>
  <c r="AA12" i="4"/>
  <c r="AQ12" i="4" s="1"/>
  <c r="AA19" i="4"/>
  <c r="AP19" i="4" s="1"/>
  <c r="AA14" i="4"/>
  <c r="AQ14" i="4" s="1"/>
  <c r="AA20" i="4"/>
  <c r="AQ20" i="4" s="1"/>
  <c r="AA10" i="4"/>
  <c r="AP10" i="4" s="1"/>
  <c r="AA11" i="4"/>
  <c r="AQ11" i="4" s="1"/>
  <c r="AA23" i="4"/>
  <c r="AP23" i="4" s="1"/>
  <c r="AA24" i="4"/>
  <c r="AP24" i="4" s="1"/>
  <c r="AA9" i="4"/>
  <c r="AC9" i="4" s="1"/>
  <c r="AD9" i="4" s="1"/>
  <c r="AA21" i="4"/>
  <c r="AQ21" i="4" s="1"/>
  <c r="AA8" i="4"/>
  <c r="AC8" i="4" s="1"/>
  <c r="AD8" i="4" s="1"/>
  <c r="AA15" i="4"/>
  <c r="AQ15" i="4" s="1"/>
  <c r="AA18" i="4"/>
  <c r="AP18" i="4" s="1"/>
  <c r="AA13" i="4"/>
  <c r="AP13" i="4" s="1"/>
  <c r="AA7" i="4"/>
  <c r="AC7" i="4" s="1"/>
  <c r="AD7" i="4" s="1"/>
  <c r="AA25" i="4"/>
  <c r="AP25" i="4" s="1"/>
  <c r="AQ7" i="5"/>
  <c r="B209" i="2" s="1"/>
  <c r="B214" i="2" s="1"/>
  <c r="B215" i="2" s="1"/>
  <c r="B188" i="2"/>
  <c r="B222" i="2" s="1"/>
  <c r="F68" i="1" s="1"/>
  <c r="B190" i="2"/>
  <c r="B226" i="2" s="1"/>
  <c r="F70" i="1" s="1"/>
  <c r="AC418" i="5"/>
  <c r="AD418" i="5" s="1"/>
  <c r="AN28" i="4"/>
  <c r="AK28" i="4"/>
  <c r="AL28" i="4" s="1"/>
  <c r="AF28" i="4"/>
  <c r="AG28" i="4" s="1"/>
  <c r="AI28" i="4" s="1"/>
  <c r="BK118" i="5"/>
  <c r="BJ118" i="5"/>
  <c r="AN45" i="4"/>
  <c r="AF45" i="4"/>
  <c r="AG45" i="4" s="1"/>
  <c r="AI45" i="4" s="1"/>
  <c r="AQ132" i="4"/>
  <c r="AP132" i="4"/>
  <c r="AC132" i="4"/>
  <c r="AD132" i="4" s="1"/>
  <c r="AN17" i="4"/>
  <c r="AF17" i="4"/>
  <c r="AG17" i="4" s="1"/>
  <c r="AI17" i="4" s="1"/>
  <c r="AK17" i="4"/>
  <c r="AL17" i="4" s="1"/>
  <c r="AP115" i="4"/>
  <c r="AQ115" i="4"/>
  <c r="AC115" i="4"/>
  <c r="AD115" i="4" s="1"/>
  <c r="AN40" i="4"/>
  <c r="AF40" i="4"/>
  <c r="AG40" i="4" s="1"/>
  <c r="AI40" i="4" s="1"/>
  <c r="AQ38" i="4"/>
  <c r="AP38" i="4"/>
  <c r="AC38" i="4"/>
  <c r="AD38" i="4" s="1"/>
  <c r="AK13" i="4"/>
  <c r="AL13" i="4" s="1"/>
  <c r="AN13" i="4"/>
  <c r="AF13" i="4"/>
  <c r="AG13" i="4" s="1"/>
  <c r="AI13" i="4" s="1"/>
  <c r="AP83" i="4"/>
  <c r="AQ83" i="4"/>
  <c r="AC83" i="4"/>
  <c r="AD83" i="4" s="1"/>
  <c r="AK31" i="4"/>
  <c r="AL31" i="4" s="1"/>
  <c r="AN31" i="4"/>
  <c r="AF31" i="4"/>
  <c r="AG31" i="4" s="1"/>
  <c r="AI31" i="4" s="1"/>
  <c r="AQ148" i="5"/>
  <c r="BI148" i="5"/>
  <c r="AR148" i="5"/>
  <c r="BJ451" i="5"/>
  <c r="BK451" i="5"/>
  <c r="BJ257" i="5"/>
  <c r="BK257" i="5"/>
  <c r="AN36" i="4"/>
  <c r="AF36" i="4"/>
  <c r="AG36" i="4" s="1"/>
  <c r="AI36" i="4" s="1"/>
  <c r="AN12" i="4"/>
  <c r="AF12" i="4"/>
  <c r="AG12" i="4" s="1"/>
  <c r="AI12" i="4" s="1"/>
  <c r="AK12" i="4"/>
  <c r="AL12" i="4" s="1"/>
  <c r="BK499" i="5"/>
  <c r="BJ499" i="5"/>
  <c r="BK122" i="5"/>
  <c r="BJ122" i="5"/>
  <c r="BJ19" i="5"/>
  <c r="BK19" i="5"/>
  <c r="BK216" i="5"/>
  <c r="BJ216" i="5"/>
  <c r="BJ429" i="5"/>
  <c r="BK429" i="5"/>
  <c r="BI504" i="5"/>
  <c r="AR504" i="5"/>
  <c r="AQ504" i="5"/>
  <c r="BI419" i="5"/>
  <c r="AQ419" i="5"/>
  <c r="AR419" i="5"/>
  <c r="BJ549" i="5"/>
  <c r="BK549" i="5"/>
  <c r="BJ320" i="5"/>
  <c r="BK320" i="5"/>
  <c r="AR462" i="5"/>
  <c r="AQ462" i="5"/>
  <c r="BI462" i="5"/>
  <c r="BJ223" i="5"/>
  <c r="BK223" i="5"/>
  <c r="BI284" i="5"/>
  <c r="AR284" i="5"/>
  <c r="AQ284" i="5"/>
  <c r="AR186" i="5"/>
  <c r="AQ186" i="5"/>
  <c r="BI186" i="5"/>
  <c r="BK147" i="5"/>
  <c r="BJ147" i="5"/>
  <c r="BK518" i="5"/>
  <c r="BJ518" i="5"/>
  <c r="AQ146" i="4"/>
  <c r="AP146" i="4"/>
  <c r="AC146" i="4"/>
  <c r="AD146" i="4" s="1"/>
  <c r="AN64" i="4"/>
  <c r="AF64" i="4"/>
  <c r="AG64" i="4" s="1"/>
  <c r="AI64" i="4" s="1"/>
  <c r="AN37" i="4"/>
  <c r="AF37" i="4"/>
  <c r="AG37" i="4" s="1"/>
  <c r="AI37" i="4" s="1"/>
  <c r="AK37" i="4"/>
  <c r="AL37" i="4" s="1"/>
  <c r="AK68" i="4"/>
  <c r="AL68" i="4" s="1"/>
  <c r="AN68" i="4"/>
  <c r="AF68" i="4"/>
  <c r="AG68" i="4" s="1"/>
  <c r="AI68" i="4" s="1"/>
  <c r="AK119" i="4"/>
  <c r="AL119" i="4" s="1"/>
  <c r="AN119" i="4"/>
  <c r="AF119" i="4"/>
  <c r="AG119" i="4" s="1"/>
  <c r="AI119" i="4" s="1"/>
  <c r="AN43" i="4"/>
  <c r="AK43" i="4"/>
  <c r="AL43" i="4" s="1"/>
  <c r="AF43" i="4"/>
  <c r="AG43" i="4" s="1"/>
  <c r="AI43" i="4" s="1"/>
  <c r="AN84" i="4"/>
  <c r="AK84" i="4"/>
  <c r="AL84" i="4" s="1"/>
  <c r="AF84" i="4"/>
  <c r="AG84" i="4" s="1"/>
  <c r="AI84" i="4" s="1"/>
  <c r="AP84" i="4"/>
  <c r="AQ84" i="4"/>
  <c r="AC84" i="4"/>
  <c r="AD84" i="4" s="1"/>
  <c r="AK70" i="4"/>
  <c r="AL70" i="4" s="1"/>
  <c r="AN70" i="4"/>
  <c r="AF70" i="4"/>
  <c r="AG70" i="4" s="1"/>
  <c r="AI70" i="4" s="1"/>
  <c r="BJ431" i="5"/>
  <c r="BK431" i="5"/>
  <c r="BK381" i="5"/>
  <c r="BJ381" i="5"/>
  <c r="BK417" i="5"/>
  <c r="BJ417" i="5"/>
  <c r="BJ211" i="5"/>
  <c r="BK211" i="5"/>
  <c r="BJ47" i="5"/>
  <c r="BK47" i="5"/>
  <c r="BK406" i="5"/>
  <c r="BJ406" i="5"/>
  <c r="BJ456" i="5"/>
  <c r="BK456" i="5"/>
  <c r="AQ386" i="5"/>
  <c r="BI386" i="5"/>
  <c r="AR386" i="5"/>
  <c r="BK352" i="5"/>
  <c r="BJ352" i="5"/>
  <c r="S9" i="5"/>
  <c r="R9" i="5"/>
  <c r="R135" i="5"/>
  <c r="S135" i="5"/>
  <c r="R432" i="5"/>
  <c r="S432" i="5"/>
  <c r="S381" i="5"/>
  <c r="R381" i="5"/>
  <c r="S151" i="5"/>
  <c r="R151" i="5"/>
  <c r="R129" i="5"/>
  <c r="S129" i="5"/>
  <c r="S222" i="5"/>
  <c r="R222" i="5"/>
  <c r="R107" i="5"/>
  <c r="S107" i="5"/>
  <c r="R240" i="5"/>
  <c r="S240" i="5"/>
  <c r="S34" i="5"/>
  <c r="R34" i="5"/>
  <c r="R454" i="5"/>
  <c r="S454" i="5"/>
  <c r="R257" i="5"/>
  <c r="S257" i="5"/>
  <c r="S378" i="5"/>
  <c r="R378" i="5"/>
  <c r="S223" i="5"/>
  <c r="R223" i="5"/>
  <c r="R125" i="5"/>
  <c r="S125" i="5"/>
  <c r="R128" i="5"/>
  <c r="S128" i="5"/>
  <c r="S253" i="5"/>
  <c r="R253" i="5"/>
  <c r="R419" i="5"/>
  <c r="S419" i="5"/>
  <c r="R533" i="5"/>
  <c r="S533" i="5"/>
  <c r="S343" i="5"/>
  <c r="R343" i="5"/>
  <c r="R37" i="5"/>
  <c r="S37" i="5"/>
  <c r="R401" i="5"/>
  <c r="S401" i="5"/>
  <c r="S536" i="5"/>
  <c r="R536" i="5"/>
  <c r="R489" i="5"/>
  <c r="S489" i="5"/>
  <c r="S324" i="5"/>
  <c r="R324" i="5"/>
  <c r="R508" i="5"/>
  <c r="S508" i="5"/>
  <c r="R444" i="5"/>
  <c r="S444" i="5"/>
  <c r="S289" i="5"/>
  <c r="R289" i="5"/>
  <c r="R259" i="5"/>
  <c r="S259" i="5"/>
  <c r="R20" i="5"/>
  <c r="S20" i="5"/>
  <c r="S486" i="5"/>
  <c r="R486" i="5"/>
  <c r="S195" i="5"/>
  <c r="R195" i="5"/>
  <c r="S178" i="5"/>
  <c r="R178" i="5"/>
  <c r="S126" i="5"/>
  <c r="R126" i="5"/>
  <c r="R85" i="5"/>
  <c r="S85" i="5"/>
  <c r="S556" i="5"/>
  <c r="R556" i="5"/>
  <c r="R546" i="5"/>
  <c r="S546" i="5"/>
  <c r="S59" i="5"/>
  <c r="R59" i="5"/>
  <c r="R203" i="5"/>
  <c r="S203" i="5"/>
  <c r="R147" i="5"/>
  <c r="S147" i="5"/>
  <c r="S232" i="5"/>
  <c r="R232" i="5"/>
  <c r="R162" i="5"/>
  <c r="S162" i="5"/>
  <c r="S420" i="5"/>
  <c r="R420" i="5"/>
  <c r="S41" i="5"/>
  <c r="R41" i="5"/>
  <c r="S406" i="5"/>
  <c r="R406" i="5"/>
  <c r="R270" i="5"/>
  <c r="S270" i="5"/>
  <c r="S49" i="5"/>
  <c r="R49" i="5"/>
  <c r="S519" i="5"/>
  <c r="R519" i="5"/>
  <c r="S83" i="5"/>
  <c r="R83" i="5"/>
  <c r="S196" i="5"/>
  <c r="R196" i="5"/>
  <c r="S205" i="5"/>
  <c r="R205" i="5"/>
  <c r="S491" i="5"/>
  <c r="R491" i="5"/>
  <c r="R340" i="5"/>
  <c r="S340" i="5"/>
  <c r="S380" i="5"/>
  <c r="R380" i="5"/>
  <c r="R469" i="5"/>
  <c r="S469" i="5"/>
  <c r="S297" i="5"/>
  <c r="R297" i="5"/>
  <c r="S153" i="5"/>
  <c r="R153" i="5"/>
  <c r="R216" i="5"/>
  <c r="S216" i="5"/>
  <c r="S84" i="5"/>
  <c r="R84" i="5"/>
  <c r="S511" i="5"/>
  <c r="R511" i="5"/>
  <c r="R403" i="5"/>
  <c r="S403" i="5"/>
  <c r="S77" i="5"/>
  <c r="R77" i="5"/>
  <c r="R358" i="5"/>
  <c r="S358" i="5"/>
  <c r="S198" i="5"/>
  <c r="R198" i="5"/>
  <c r="S262" i="5"/>
  <c r="R262" i="5"/>
  <c r="S160" i="5"/>
  <c r="R160" i="5"/>
  <c r="R307" i="5"/>
  <c r="S307" i="5"/>
  <c r="S100" i="5"/>
  <c r="R100" i="5"/>
  <c r="S437" i="5"/>
  <c r="R437" i="5"/>
  <c r="R525" i="5"/>
  <c r="S525" i="5"/>
  <c r="R312" i="5"/>
  <c r="S312" i="5"/>
  <c r="R189" i="5"/>
  <c r="S189" i="5"/>
  <c r="S258" i="5"/>
  <c r="R258" i="5"/>
  <c r="R239" i="5"/>
  <c r="S239" i="5"/>
  <c r="S171" i="5"/>
  <c r="R171" i="5"/>
  <c r="R31" i="5"/>
  <c r="S31" i="5"/>
  <c r="R230" i="5"/>
  <c r="S230" i="5"/>
  <c r="S433" i="5"/>
  <c r="R433" i="5"/>
  <c r="R106" i="5"/>
  <c r="S106" i="5"/>
  <c r="S494" i="5"/>
  <c r="R494" i="5"/>
  <c r="R431" i="5"/>
  <c r="S431" i="5"/>
  <c r="R429" i="5"/>
  <c r="S429" i="5"/>
  <c r="R553" i="5"/>
  <c r="S553" i="5"/>
  <c r="R446" i="5"/>
  <c r="S446" i="5"/>
  <c r="R379" i="5"/>
  <c r="S379" i="5"/>
  <c r="S200" i="5"/>
  <c r="R200" i="5"/>
  <c r="R228" i="5"/>
  <c r="S228" i="5"/>
  <c r="S164" i="5"/>
  <c r="R164" i="5"/>
  <c r="S370" i="5"/>
  <c r="R370" i="5"/>
  <c r="S552" i="5"/>
  <c r="R552" i="5"/>
  <c r="S140" i="5"/>
  <c r="R140" i="5"/>
  <c r="S467" i="5"/>
  <c r="R467" i="5"/>
  <c r="S414" i="5"/>
  <c r="R414" i="5"/>
  <c r="R427" i="5"/>
  <c r="S427" i="5"/>
  <c r="R473" i="5"/>
  <c r="S473" i="5"/>
  <c r="R74" i="5"/>
  <c r="S74" i="5"/>
  <c r="S248" i="5"/>
  <c r="R248" i="5"/>
  <c r="S261" i="5"/>
  <c r="R261" i="5"/>
  <c r="S163" i="5"/>
  <c r="R163" i="5"/>
  <c r="S320" i="5"/>
  <c r="R320" i="5"/>
  <c r="R172" i="5"/>
  <c r="S172" i="5"/>
  <c r="S349" i="5"/>
  <c r="R349" i="5"/>
  <c r="S197" i="5"/>
  <c r="R197" i="5"/>
  <c r="R19" i="5"/>
  <c r="S19" i="5"/>
  <c r="S82" i="5"/>
  <c r="R82" i="5"/>
  <c r="S315" i="5"/>
  <c r="R315" i="5"/>
  <c r="R535" i="5"/>
  <c r="S535" i="5"/>
  <c r="S296" i="5"/>
  <c r="R296" i="5"/>
  <c r="R346" i="5"/>
  <c r="S346" i="5"/>
  <c r="S393" i="5"/>
  <c r="R393" i="5"/>
  <c r="S149" i="5"/>
  <c r="R149" i="5"/>
  <c r="S204" i="5"/>
  <c r="R204" i="5"/>
  <c r="S187" i="5"/>
  <c r="R187" i="5"/>
  <c r="S506" i="5"/>
  <c r="R506" i="5"/>
  <c r="S412" i="5"/>
  <c r="R412" i="5"/>
  <c r="R66" i="5"/>
  <c r="S66" i="5"/>
  <c r="S434" i="5"/>
  <c r="R434" i="5"/>
  <c r="R461" i="5"/>
  <c r="S461" i="5"/>
  <c r="S72" i="5"/>
  <c r="R72" i="5"/>
  <c r="R389" i="5"/>
  <c r="S389" i="5"/>
  <c r="R529" i="5"/>
  <c r="S529" i="5"/>
  <c r="R350" i="5"/>
  <c r="S350" i="5"/>
  <c r="S111" i="5"/>
  <c r="R111" i="5"/>
  <c r="S542" i="5"/>
  <c r="R542" i="5"/>
  <c r="R269" i="5"/>
  <c r="S269" i="5"/>
  <c r="R460" i="5"/>
  <c r="S460" i="5"/>
  <c r="R123" i="5"/>
  <c r="S123" i="5"/>
  <c r="S168" i="5"/>
  <c r="R168" i="5"/>
  <c r="R137" i="5"/>
  <c r="S137" i="5"/>
  <c r="R69" i="5"/>
  <c r="S69" i="5"/>
  <c r="R400" i="5"/>
  <c r="S400" i="5"/>
  <c r="R416" i="5"/>
  <c r="S416" i="5"/>
  <c r="R504" i="5"/>
  <c r="S504" i="5"/>
  <c r="R495" i="5"/>
  <c r="S495" i="5"/>
  <c r="R459" i="5"/>
  <c r="S459" i="5"/>
  <c r="R150" i="5"/>
  <c r="S150" i="5"/>
  <c r="Q11" i="5"/>
  <c r="AG11" i="5"/>
  <c r="AT11" i="5"/>
  <c r="AM11" i="5"/>
  <c r="AZ11" i="5"/>
  <c r="T11" i="5"/>
  <c r="AW11" i="5"/>
  <c r="AJ11" i="5"/>
  <c r="W11" i="5"/>
  <c r="Z11" i="5"/>
  <c r="AN103" i="4"/>
  <c r="AK103" i="4"/>
  <c r="AL103" i="4" s="1"/>
  <c r="AF103" i="4"/>
  <c r="AG103" i="4" s="1"/>
  <c r="AI103" i="4" s="1"/>
  <c r="AP103" i="4"/>
  <c r="AQ103" i="4"/>
  <c r="AC103" i="4"/>
  <c r="AD103" i="4" s="1"/>
  <c r="BE9" i="5"/>
  <c r="BD9" i="5"/>
  <c r="AP147" i="4"/>
  <c r="AC147" i="4"/>
  <c r="AD147" i="4" s="1"/>
  <c r="AQ147" i="4"/>
  <c r="AN30" i="4"/>
  <c r="AK30" i="4"/>
  <c r="AL30" i="4" s="1"/>
  <c r="AF30" i="4"/>
  <c r="AG30" i="4" s="1"/>
  <c r="AI30" i="4" s="1"/>
  <c r="AK44" i="4"/>
  <c r="AL44" i="4" s="1"/>
  <c r="AN44" i="4"/>
  <c r="AF44" i="4"/>
  <c r="AG44" i="4" s="1"/>
  <c r="AI44" i="4" s="1"/>
  <c r="AK33" i="4"/>
  <c r="AL33" i="4" s="1"/>
  <c r="AF33" i="4"/>
  <c r="AG33" i="4" s="1"/>
  <c r="AI33" i="4" s="1"/>
  <c r="AN33" i="4"/>
  <c r="BJ445" i="5"/>
  <c r="BK445" i="5"/>
  <c r="AR500" i="5"/>
  <c r="BI500" i="5"/>
  <c r="AQ500" i="5"/>
  <c r="AQ127" i="5"/>
  <c r="BI127" i="5"/>
  <c r="AR127" i="5"/>
  <c r="BK465" i="5"/>
  <c r="BJ465" i="5"/>
  <c r="BJ425" i="5"/>
  <c r="BK425" i="5"/>
  <c r="AK107" i="4"/>
  <c r="AL107" i="4" s="1"/>
  <c r="AN107" i="4"/>
  <c r="AF107" i="4"/>
  <c r="AG107" i="4" s="1"/>
  <c r="AI107" i="4" s="1"/>
  <c r="AN11" i="4"/>
  <c r="AK11" i="4"/>
  <c r="AL11" i="4" s="1"/>
  <c r="AF11" i="4"/>
  <c r="AG11" i="4" s="1"/>
  <c r="AI11" i="4" s="1"/>
  <c r="AN18" i="4"/>
  <c r="AF18" i="4"/>
  <c r="AG18" i="4" s="1"/>
  <c r="AI18" i="4" s="1"/>
  <c r="AK18" i="4"/>
  <c r="AL18" i="4" s="1"/>
  <c r="AN19" i="4"/>
  <c r="AK19" i="4"/>
  <c r="AL19" i="4" s="1"/>
  <c r="AF19" i="4"/>
  <c r="AG19" i="4" s="1"/>
  <c r="AI19" i="4" s="1"/>
  <c r="AF7" i="4"/>
  <c r="AG7" i="4" s="1"/>
  <c r="AI7" i="4" s="1"/>
  <c r="AN7" i="4"/>
  <c r="AK7" i="4"/>
  <c r="AL7" i="4" s="1"/>
  <c r="AK83" i="4"/>
  <c r="AL83" i="4" s="1"/>
  <c r="AN83" i="4"/>
  <c r="AF83" i="4"/>
  <c r="AG83" i="4" s="1"/>
  <c r="AI83" i="4" s="1"/>
  <c r="AR9" i="5"/>
  <c r="AQ9" i="5"/>
  <c r="BI9" i="5"/>
  <c r="BJ430" i="5"/>
  <c r="BK430" i="5"/>
  <c r="AQ267" i="5"/>
  <c r="BI267" i="5"/>
  <c r="AR267" i="5"/>
  <c r="BK128" i="5"/>
  <c r="BJ128" i="5"/>
  <c r="AQ72" i="4"/>
  <c r="AP72" i="4"/>
  <c r="AC72" i="4"/>
  <c r="AD72" i="4" s="1"/>
  <c r="AN49" i="4"/>
  <c r="AF49" i="4"/>
  <c r="AG49" i="4" s="1"/>
  <c r="AI49" i="4" s="1"/>
  <c r="AQ71" i="4"/>
  <c r="AP71" i="4"/>
  <c r="AC71" i="4"/>
  <c r="AD71" i="4" s="1"/>
  <c r="BJ513" i="5"/>
  <c r="BK513" i="5"/>
  <c r="AR77" i="5"/>
  <c r="AQ77" i="5"/>
  <c r="BI77" i="5"/>
  <c r="BK55" i="5"/>
  <c r="BJ55" i="5"/>
  <c r="BK467" i="5"/>
  <c r="BJ467" i="5"/>
  <c r="BK401" i="5"/>
  <c r="BJ401" i="5"/>
  <c r="BK123" i="5"/>
  <c r="BJ123" i="5"/>
  <c r="BK520" i="5"/>
  <c r="BJ520" i="5"/>
  <c r="AR416" i="5"/>
  <c r="BI416" i="5"/>
  <c r="AQ416" i="5"/>
  <c r="BJ215" i="5"/>
  <c r="BK215" i="5"/>
  <c r="BK482" i="5"/>
  <c r="BJ482" i="5"/>
  <c r="BJ559" i="5"/>
  <c r="BK559" i="5"/>
  <c r="AN146" i="4"/>
  <c r="AK146" i="4"/>
  <c r="AL146" i="4" s="1"/>
  <c r="AF146" i="4"/>
  <c r="AG146" i="4" s="1"/>
  <c r="AI146" i="4" s="1"/>
  <c r="AP68" i="4"/>
  <c r="AC68" i="4"/>
  <c r="AD68" i="4" s="1"/>
  <c r="AQ68" i="4"/>
  <c r="AN20" i="4"/>
  <c r="AF20" i="4"/>
  <c r="AG20" i="4" s="1"/>
  <c r="AI20" i="4" s="1"/>
  <c r="AK20" i="4"/>
  <c r="AL20" i="4" s="1"/>
  <c r="AN88" i="4"/>
  <c r="AK88" i="4"/>
  <c r="AL88" i="4" s="1"/>
  <c r="AF88" i="4"/>
  <c r="AG88" i="4" s="1"/>
  <c r="AI88" i="4" s="1"/>
  <c r="AQ70" i="4"/>
  <c r="AP70" i="4"/>
  <c r="AC70" i="4"/>
  <c r="AD70" i="4" s="1"/>
  <c r="AQ150" i="4"/>
  <c r="AP150" i="4"/>
  <c r="AC150" i="4"/>
  <c r="AD150" i="4" s="1"/>
  <c r="BK309" i="5"/>
  <c r="BJ309" i="5"/>
  <c r="BJ438" i="5"/>
  <c r="BK438" i="5"/>
  <c r="BK36" i="5"/>
  <c r="BJ36" i="5"/>
  <c r="BJ46" i="5"/>
  <c r="BK46" i="5"/>
  <c r="BK453" i="5"/>
  <c r="BJ453" i="5"/>
  <c r="BK236" i="5"/>
  <c r="BJ236" i="5"/>
  <c r="BJ369" i="5"/>
  <c r="BK369" i="5"/>
  <c r="BK204" i="5"/>
  <c r="BJ204" i="5"/>
  <c r="BJ470" i="5"/>
  <c r="BK470" i="5"/>
  <c r="BK81" i="5"/>
  <c r="BJ81" i="5"/>
  <c r="BK407" i="5"/>
  <c r="BJ407" i="5"/>
  <c r="AR84" i="5"/>
  <c r="BI84" i="5"/>
  <c r="AQ84" i="5"/>
  <c r="BJ49" i="5"/>
  <c r="BK49" i="5"/>
  <c r="R179" i="5"/>
  <c r="S179" i="5"/>
  <c r="S35" i="5"/>
  <c r="R35" i="5"/>
  <c r="S550" i="5"/>
  <c r="R550" i="5"/>
  <c r="R375" i="5"/>
  <c r="S375" i="5"/>
  <c r="S264" i="5"/>
  <c r="R264" i="5"/>
  <c r="S265" i="5"/>
  <c r="R265" i="5"/>
  <c r="R323" i="5"/>
  <c r="S323" i="5"/>
  <c r="R369" i="5"/>
  <c r="S369" i="5"/>
  <c r="S373" i="5"/>
  <c r="R373" i="5"/>
  <c r="S109" i="5"/>
  <c r="R109" i="5"/>
  <c r="S56" i="5"/>
  <c r="R56" i="5"/>
  <c r="S141" i="5"/>
  <c r="R141" i="5"/>
  <c r="S80" i="5"/>
  <c r="R80" i="5"/>
  <c r="R121" i="5"/>
  <c r="S121" i="5"/>
  <c r="R25" i="5"/>
  <c r="S25" i="5"/>
  <c r="R36" i="5"/>
  <c r="S36" i="5"/>
  <c r="R47" i="5"/>
  <c r="S47" i="5"/>
  <c r="R102" i="5"/>
  <c r="S102" i="5"/>
  <c r="R299" i="5"/>
  <c r="S299" i="5"/>
  <c r="S520" i="5"/>
  <c r="R520" i="5"/>
  <c r="R507" i="5"/>
  <c r="S507" i="5"/>
  <c r="R234" i="5"/>
  <c r="S234" i="5"/>
  <c r="R57" i="5"/>
  <c r="S57" i="5"/>
  <c r="R413" i="5"/>
  <c r="S413" i="5"/>
  <c r="S181" i="5"/>
  <c r="R181" i="5"/>
  <c r="R398" i="5"/>
  <c r="S398" i="5"/>
  <c r="R138" i="5"/>
  <c r="S138" i="5"/>
  <c r="R559" i="5"/>
  <c r="S559" i="5"/>
  <c r="R21" i="5"/>
  <c r="S21" i="5"/>
  <c r="R98" i="5"/>
  <c r="S98" i="5"/>
  <c r="S425" i="5"/>
  <c r="R425" i="5"/>
  <c r="S544" i="5"/>
  <c r="R544" i="5"/>
  <c r="S560" i="5"/>
  <c r="R560" i="5"/>
  <c r="S145" i="5"/>
  <c r="R145" i="5"/>
  <c r="R335" i="5"/>
  <c r="S335" i="5"/>
  <c r="R280" i="5"/>
  <c r="S280" i="5"/>
  <c r="S22" i="5"/>
  <c r="R22" i="5"/>
  <c r="R510" i="5"/>
  <c r="S510" i="5"/>
  <c r="R355" i="5"/>
  <c r="S355" i="5"/>
  <c r="S271" i="5"/>
  <c r="R271" i="5"/>
  <c r="R127" i="5"/>
  <c r="S127" i="5"/>
  <c r="S152" i="5"/>
  <c r="R152" i="5"/>
  <c r="R313" i="5"/>
  <c r="S313" i="5"/>
  <c r="R521" i="5"/>
  <c r="S521" i="5"/>
  <c r="R490" i="5"/>
  <c r="S490" i="5"/>
  <c r="R450" i="5"/>
  <c r="S450" i="5"/>
  <c r="R532" i="5"/>
  <c r="S532" i="5"/>
  <c r="S268" i="5"/>
  <c r="R268" i="5"/>
  <c r="S276" i="5"/>
  <c r="R276" i="5"/>
  <c r="R337" i="5"/>
  <c r="S337" i="5"/>
  <c r="R468" i="5"/>
  <c r="S468" i="5"/>
  <c r="S426" i="5"/>
  <c r="R426" i="5"/>
  <c r="R475" i="5"/>
  <c r="S475" i="5"/>
  <c r="S174" i="5"/>
  <c r="R174" i="5"/>
  <c r="S482" i="5"/>
  <c r="R482" i="5"/>
  <c r="S76" i="5"/>
  <c r="R76" i="5"/>
  <c r="S445" i="5"/>
  <c r="R445" i="5"/>
  <c r="R115" i="5"/>
  <c r="S115" i="5"/>
  <c r="R341" i="5"/>
  <c r="S341" i="5"/>
  <c r="S374" i="5"/>
  <c r="R374" i="5"/>
  <c r="S290" i="5"/>
  <c r="R290" i="5"/>
  <c r="S487" i="5"/>
  <c r="R487" i="5"/>
  <c r="S247" i="5"/>
  <c r="R247" i="5"/>
  <c r="S558" i="5"/>
  <c r="R558" i="5"/>
  <c r="S345" i="5"/>
  <c r="R345" i="5"/>
  <c r="R330" i="5"/>
  <c r="S330" i="5"/>
  <c r="R371" i="5"/>
  <c r="S371" i="5"/>
  <c r="S75" i="5"/>
  <c r="R75" i="5"/>
  <c r="R483" i="5"/>
  <c r="S483" i="5"/>
  <c r="R523" i="5"/>
  <c r="S523" i="5"/>
  <c r="R474" i="5"/>
  <c r="S474" i="5"/>
  <c r="R229" i="5"/>
  <c r="S229" i="5"/>
  <c r="R549" i="5"/>
  <c r="S549" i="5"/>
  <c r="S479" i="5"/>
  <c r="R479" i="5"/>
  <c r="S372" i="5"/>
  <c r="R372" i="5"/>
  <c r="R95" i="5"/>
  <c r="S95" i="5"/>
  <c r="R255" i="5"/>
  <c r="S255" i="5"/>
  <c r="R384" i="5"/>
  <c r="S384" i="5"/>
  <c r="R155" i="5"/>
  <c r="S155" i="5"/>
  <c r="S496" i="5"/>
  <c r="R496" i="5"/>
  <c r="R278" i="5"/>
  <c r="S278" i="5"/>
  <c r="R368" i="5"/>
  <c r="S368" i="5"/>
  <c r="S40" i="5"/>
  <c r="R40" i="5"/>
  <c r="S453" i="5"/>
  <c r="R453" i="5"/>
  <c r="S44" i="5"/>
  <c r="R44" i="5"/>
  <c r="R309" i="5"/>
  <c r="S309" i="5"/>
  <c r="S334" i="5"/>
  <c r="R334" i="5"/>
  <c r="R202" i="5"/>
  <c r="S202" i="5"/>
  <c r="S61" i="5"/>
  <c r="R61" i="5"/>
  <c r="R46" i="5"/>
  <c r="S46" i="5"/>
  <c r="S396" i="5"/>
  <c r="R396" i="5"/>
  <c r="S157" i="5"/>
  <c r="R157" i="5"/>
  <c r="R480" i="5"/>
  <c r="S480" i="5"/>
  <c r="S279" i="5"/>
  <c r="R279" i="5"/>
  <c r="R351" i="5"/>
  <c r="S351" i="5"/>
  <c r="R64" i="5"/>
  <c r="S64" i="5"/>
  <c r="R505" i="5"/>
  <c r="S505" i="5"/>
  <c r="S515" i="5"/>
  <c r="R515" i="5"/>
  <c r="S29" i="5"/>
  <c r="R29" i="5"/>
  <c r="R266" i="5"/>
  <c r="S266" i="5"/>
  <c r="R530" i="5"/>
  <c r="S530" i="5"/>
  <c r="S333" i="5"/>
  <c r="R333" i="5"/>
  <c r="S538" i="5"/>
  <c r="R538" i="5"/>
  <c r="R359" i="5"/>
  <c r="S359" i="5"/>
  <c r="S39" i="5"/>
  <c r="R39" i="5"/>
  <c r="R110" i="5"/>
  <c r="S110" i="5"/>
  <c r="S356" i="5"/>
  <c r="R356" i="5"/>
  <c r="S99" i="5"/>
  <c r="R99" i="5"/>
  <c r="R301" i="5"/>
  <c r="S301" i="5"/>
  <c r="S212" i="5"/>
  <c r="R212" i="5"/>
  <c r="S273" i="5"/>
  <c r="R273" i="5"/>
  <c r="R238" i="5"/>
  <c r="S238" i="5"/>
  <c r="R246" i="5"/>
  <c r="S246" i="5"/>
  <c r="R283" i="5"/>
  <c r="S283" i="5"/>
  <c r="R24" i="5"/>
  <c r="S24" i="5"/>
  <c r="R390" i="5"/>
  <c r="S390" i="5"/>
  <c r="S113" i="5"/>
  <c r="R113" i="5"/>
  <c r="R12" i="5"/>
  <c r="S12" i="5"/>
  <c r="R466" i="5"/>
  <c r="S466" i="5"/>
  <c r="R156" i="5"/>
  <c r="S156" i="5"/>
  <c r="S81" i="5"/>
  <c r="R81" i="5"/>
  <c r="S363" i="5"/>
  <c r="R363" i="5"/>
  <c r="S452" i="5"/>
  <c r="R452" i="5"/>
  <c r="S451" i="5"/>
  <c r="R451" i="5"/>
  <c r="S244" i="5"/>
  <c r="R244" i="5"/>
  <c r="R134" i="5"/>
  <c r="S134" i="5"/>
  <c r="S386" i="5"/>
  <c r="R386" i="5"/>
  <c r="S442" i="5"/>
  <c r="R442" i="5"/>
  <c r="R281" i="5"/>
  <c r="S281" i="5"/>
  <c r="R233" i="5"/>
  <c r="S233" i="5"/>
  <c r="R488" i="5"/>
  <c r="S488" i="5"/>
  <c r="R131" i="5"/>
  <c r="S131" i="5"/>
  <c r="R292" i="5"/>
  <c r="S292" i="5"/>
  <c r="S45" i="5"/>
  <c r="R45" i="5"/>
  <c r="R402" i="5"/>
  <c r="S402" i="5"/>
  <c r="R464" i="5"/>
  <c r="S464" i="5"/>
  <c r="R154" i="5"/>
  <c r="S154" i="5"/>
  <c r="AK99" i="4"/>
  <c r="AL99" i="4" s="1"/>
  <c r="AF99" i="4"/>
  <c r="AG99" i="4" s="1"/>
  <c r="AI99" i="4" s="1"/>
  <c r="AN99" i="4"/>
  <c r="AP91" i="4"/>
  <c r="AQ91" i="4"/>
  <c r="AC91" i="4"/>
  <c r="AD91" i="4" s="1"/>
  <c r="AK48" i="4"/>
  <c r="AL48" i="4" s="1"/>
  <c r="AN48" i="4"/>
  <c r="AF48" i="4"/>
  <c r="AG48" i="4" s="1"/>
  <c r="AI48" i="4" s="1"/>
  <c r="AC129" i="5"/>
  <c r="AC249" i="5"/>
  <c r="AC167" i="5"/>
  <c r="AC170" i="5"/>
  <c r="AC527" i="5"/>
  <c r="AC315" i="5"/>
  <c r="AN147" i="4"/>
  <c r="AK147" i="4"/>
  <c r="AL147" i="4" s="1"/>
  <c r="AF147" i="4"/>
  <c r="AG147" i="4" s="1"/>
  <c r="AI147" i="4" s="1"/>
  <c r="BK395" i="5"/>
  <c r="BJ395" i="5"/>
  <c r="BK29" i="5"/>
  <c r="BJ29" i="5"/>
  <c r="BJ139" i="5"/>
  <c r="BK139" i="5"/>
  <c r="BK172" i="5"/>
  <c r="BJ172" i="5"/>
  <c r="BJ550" i="5"/>
  <c r="BK550" i="5"/>
  <c r="AP107" i="4"/>
  <c r="AQ107" i="4"/>
  <c r="AC107" i="4"/>
  <c r="AD107" i="4" s="1"/>
  <c r="AN132" i="4"/>
  <c r="AK132" i="4"/>
  <c r="AL132" i="4" s="1"/>
  <c r="AF132" i="4"/>
  <c r="AG132" i="4" s="1"/>
  <c r="AI132" i="4" s="1"/>
  <c r="AQ17" i="4"/>
  <c r="AC17" i="4"/>
  <c r="AD17" i="4" s="1"/>
  <c r="AP17" i="4"/>
  <c r="AK52" i="4"/>
  <c r="AL52" i="4" s="1"/>
  <c r="AN52" i="4"/>
  <c r="AF52" i="4"/>
  <c r="AG52" i="4" s="1"/>
  <c r="AI52" i="4" s="1"/>
  <c r="AF22" i="4"/>
  <c r="AG22" i="4" s="1"/>
  <c r="AI22" i="4" s="1"/>
  <c r="AK22" i="4"/>
  <c r="AL22" i="4" s="1"/>
  <c r="AN22" i="4"/>
  <c r="AK38" i="4"/>
  <c r="AL38" i="4" s="1"/>
  <c r="AN38" i="4"/>
  <c r="AF38" i="4"/>
  <c r="AG38" i="4" s="1"/>
  <c r="AI38" i="4" s="1"/>
  <c r="AR497" i="5"/>
  <c r="BI497" i="5"/>
  <c r="AQ497" i="5"/>
  <c r="AQ33" i="5"/>
  <c r="BI33" i="5"/>
  <c r="AR33" i="5"/>
  <c r="BK370" i="5"/>
  <c r="BJ370" i="5"/>
  <c r="BJ140" i="5"/>
  <c r="BK140" i="5"/>
  <c r="AK72" i="4"/>
  <c r="AL72" i="4" s="1"/>
  <c r="AN72" i="4"/>
  <c r="AF72" i="4"/>
  <c r="AG72" i="4" s="1"/>
  <c r="AI72" i="4" s="1"/>
  <c r="AF14" i="4"/>
  <c r="AG14" i="4" s="1"/>
  <c r="AI14" i="4" s="1"/>
  <c r="AK14" i="4"/>
  <c r="AL14" i="4" s="1"/>
  <c r="AN14" i="4"/>
  <c r="AN23" i="4"/>
  <c r="AK23" i="4"/>
  <c r="AL23" i="4" s="1"/>
  <c r="AF23" i="4"/>
  <c r="AG23" i="4" s="1"/>
  <c r="AI23" i="4" s="1"/>
  <c r="AK153" i="4"/>
  <c r="AL153" i="4" s="1"/>
  <c r="AN153" i="4"/>
  <c r="AF153" i="4"/>
  <c r="AG153" i="4" s="1"/>
  <c r="AI153" i="4" s="1"/>
  <c r="AN26" i="4"/>
  <c r="AF26" i="4"/>
  <c r="AG26" i="4" s="1"/>
  <c r="AI26" i="4" s="1"/>
  <c r="AK157" i="4"/>
  <c r="AL157" i="4" s="1"/>
  <c r="AF157" i="4"/>
  <c r="AG157" i="4" s="1"/>
  <c r="AI157" i="4" s="1"/>
  <c r="BK517" i="5"/>
  <c r="BJ517" i="5"/>
  <c r="BK364" i="5"/>
  <c r="BJ364" i="5"/>
  <c r="BJ138" i="5"/>
  <c r="BK138" i="5"/>
  <c r="BK435" i="5"/>
  <c r="BJ435" i="5"/>
  <c r="BK319" i="5"/>
  <c r="BJ319" i="5"/>
  <c r="BJ48" i="5"/>
  <c r="BK48" i="5"/>
  <c r="BJ558" i="5"/>
  <c r="BK558" i="5"/>
  <c r="AQ209" i="5"/>
  <c r="AR209" i="5"/>
  <c r="BI209" i="5"/>
  <c r="AR13" i="5"/>
  <c r="BI13" i="5"/>
  <c r="AQ13" i="5"/>
  <c r="BK491" i="5"/>
  <c r="BJ491" i="5"/>
  <c r="BK262" i="5"/>
  <c r="BJ262" i="5"/>
  <c r="BK165" i="5"/>
  <c r="BJ165" i="5"/>
  <c r="BJ541" i="5"/>
  <c r="BK541" i="5"/>
  <c r="BJ509" i="5"/>
  <c r="BK509" i="5"/>
  <c r="BK379" i="5"/>
  <c r="BJ379" i="5"/>
  <c r="BJ420" i="5"/>
  <c r="BK420" i="5"/>
  <c r="AN34" i="4"/>
  <c r="AK34" i="4"/>
  <c r="AL34" i="4" s="1"/>
  <c r="AF34" i="4"/>
  <c r="AG34" i="4" s="1"/>
  <c r="AI34" i="4" s="1"/>
  <c r="AQ88" i="4"/>
  <c r="AP88" i="4"/>
  <c r="AC88" i="4"/>
  <c r="AD88" i="4" s="1"/>
  <c r="AN150" i="4"/>
  <c r="AK150" i="4"/>
  <c r="AL150" i="4" s="1"/>
  <c r="AF150" i="4"/>
  <c r="AG150" i="4" s="1"/>
  <c r="AI150" i="4" s="1"/>
  <c r="BJ345" i="5"/>
  <c r="BK345" i="5"/>
  <c r="BK242" i="5"/>
  <c r="BJ242" i="5"/>
  <c r="BI73" i="5"/>
  <c r="AQ73" i="5"/>
  <c r="AR73" i="5"/>
  <c r="BK547" i="5"/>
  <c r="BJ547" i="5"/>
  <c r="BK283" i="5"/>
  <c r="BJ283" i="5"/>
  <c r="AR151" i="5"/>
  <c r="BI151" i="5"/>
  <c r="AQ151" i="5"/>
  <c r="BJ114" i="5"/>
  <c r="BK114" i="5"/>
  <c r="AQ219" i="5"/>
  <c r="BI219" i="5"/>
  <c r="AR219" i="5"/>
  <c r="BK373" i="5"/>
  <c r="BJ373" i="5"/>
  <c r="BJ530" i="5"/>
  <c r="BK530" i="5"/>
  <c r="BJ149" i="5"/>
  <c r="BK149" i="5"/>
  <c r="S311" i="5"/>
  <c r="R311" i="5"/>
  <c r="R183" i="5"/>
  <c r="S183" i="5"/>
  <c r="R13" i="5"/>
  <c r="S13" i="5"/>
  <c r="S302" i="5"/>
  <c r="R302" i="5"/>
  <c r="S242" i="5"/>
  <c r="R242" i="5"/>
  <c r="R367" i="5"/>
  <c r="S367" i="5"/>
  <c r="R118" i="5"/>
  <c r="S118" i="5"/>
  <c r="R423" i="5"/>
  <c r="S423" i="5"/>
  <c r="R256" i="5"/>
  <c r="S256" i="5"/>
  <c r="S182" i="5"/>
  <c r="R182" i="5"/>
  <c r="R555" i="5"/>
  <c r="S555" i="5"/>
  <c r="R394" i="5"/>
  <c r="S394" i="5"/>
  <c r="R331" i="5"/>
  <c r="S331" i="5"/>
  <c r="R267" i="5"/>
  <c r="S267" i="5"/>
  <c r="S557" i="5"/>
  <c r="R557" i="5"/>
  <c r="S105" i="5"/>
  <c r="R105" i="5"/>
  <c r="S512" i="5"/>
  <c r="R512" i="5"/>
  <c r="S357" i="5"/>
  <c r="R357" i="5"/>
  <c r="R435" i="5"/>
  <c r="S435" i="5"/>
  <c r="R209" i="5"/>
  <c r="S209" i="5"/>
  <c r="R201" i="5"/>
  <c r="S201" i="5"/>
  <c r="R441" i="5"/>
  <c r="S441" i="5"/>
  <c r="R415" i="5"/>
  <c r="S415" i="5"/>
  <c r="S68" i="5"/>
  <c r="R68" i="5"/>
  <c r="R514" i="5"/>
  <c r="S514" i="5"/>
  <c r="S225" i="5"/>
  <c r="R225" i="5"/>
  <c r="S190" i="5"/>
  <c r="R190" i="5"/>
  <c r="S537" i="5"/>
  <c r="R537" i="5"/>
  <c r="R500" i="5"/>
  <c r="S500" i="5"/>
  <c r="S319" i="5"/>
  <c r="R319" i="5"/>
  <c r="R193" i="5"/>
  <c r="S193" i="5"/>
  <c r="R295" i="5"/>
  <c r="S295" i="5"/>
  <c r="S142" i="5"/>
  <c r="R142" i="5"/>
  <c r="S169" i="5"/>
  <c r="R169" i="5"/>
  <c r="S516" i="5"/>
  <c r="R516" i="5"/>
  <c r="S457" i="5"/>
  <c r="R457" i="5"/>
  <c r="S481" i="5"/>
  <c r="R481" i="5"/>
  <c r="R221" i="5"/>
  <c r="S221" i="5"/>
  <c r="S227" i="5"/>
  <c r="R227" i="5"/>
  <c r="S439" i="5"/>
  <c r="R439" i="5"/>
  <c r="S395" i="5"/>
  <c r="R395" i="5"/>
  <c r="R148" i="5"/>
  <c r="S148" i="5"/>
  <c r="S90" i="5"/>
  <c r="R90" i="5"/>
  <c r="R447" i="5"/>
  <c r="S447" i="5"/>
  <c r="S360" i="5"/>
  <c r="R360" i="5"/>
  <c r="S526" i="5"/>
  <c r="R526" i="5"/>
  <c r="S407" i="5"/>
  <c r="R407" i="5"/>
  <c r="R405" i="5"/>
  <c r="S405" i="5"/>
  <c r="R42" i="5"/>
  <c r="S42" i="5"/>
  <c r="S436" i="5"/>
  <c r="R436" i="5"/>
  <c r="R186" i="5"/>
  <c r="S186" i="5"/>
  <c r="S165" i="5"/>
  <c r="R165" i="5"/>
  <c r="S294" i="5"/>
  <c r="R294" i="5"/>
  <c r="S170" i="5"/>
  <c r="R170" i="5"/>
  <c r="R284" i="5"/>
  <c r="S284" i="5"/>
  <c r="S30" i="5"/>
  <c r="R30" i="5"/>
  <c r="S551" i="5"/>
  <c r="R551" i="5"/>
  <c r="S449" i="5"/>
  <c r="R449" i="5"/>
  <c r="R485" i="5"/>
  <c r="S485" i="5"/>
  <c r="S54" i="5"/>
  <c r="R54" i="5"/>
  <c r="S92" i="5"/>
  <c r="R92" i="5"/>
  <c r="R365" i="5"/>
  <c r="S365" i="5"/>
  <c r="R208" i="5"/>
  <c r="S208" i="5"/>
  <c r="S43" i="5"/>
  <c r="R43" i="5"/>
  <c r="S139" i="5"/>
  <c r="R139" i="5"/>
  <c r="R524" i="5"/>
  <c r="S524" i="5"/>
  <c r="S275" i="5"/>
  <c r="R275" i="5"/>
  <c r="R245" i="5"/>
  <c r="S245" i="5"/>
  <c r="R470" i="5"/>
  <c r="S470" i="5"/>
  <c r="S554" i="5"/>
  <c r="R554" i="5"/>
  <c r="R136" i="5"/>
  <c r="S136" i="5"/>
  <c r="S236" i="5"/>
  <c r="R236" i="5"/>
  <c r="S397" i="5"/>
  <c r="R397" i="5"/>
  <c r="R277" i="5"/>
  <c r="S277" i="5"/>
  <c r="S167" i="5"/>
  <c r="R167" i="5"/>
  <c r="S332" i="5"/>
  <c r="R332" i="5"/>
  <c r="R347" i="5"/>
  <c r="S347" i="5"/>
  <c r="R176" i="5"/>
  <c r="S176" i="5"/>
  <c r="R291" i="5"/>
  <c r="S291" i="5"/>
  <c r="R159" i="5"/>
  <c r="S159" i="5"/>
  <c r="S185" i="5"/>
  <c r="R185" i="5"/>
  <c r="S263" i="5"/>
  <c r="R263" i="5"/>
  <c r="S88" i="5"/>
  <c r="R88" i="5"/>
  <c r="R499" i="5"/>
  <c r="S499" i="5"/>
  <c r="S28" i="5"/>
  <c r="R28" i="5"/>
  <c r="S219" i="5"/>
  <c r="R219" i="5"/>
  <c r="S300" i="5"/>
  <c r="R300" i="5"/>
  <c r="R288" i="5"/>
  <c r="S288" i="5"/>
  <c r="S344" i="5"/>
  <c r="R344" i="5"/>
  <c r="R78" i="5"/>
  <c r="S78" i="5"/>
  <c r="S8" i="5"/>
  <c r="R8" i="5"/>
  <c r="S541" i="5"/>
  <c r="R541" i="5"/>
  <c r="R387" i="5"/>
  <c r="S387" i="5"/>
  <c r="S428" i="5"/>
  <c r="R428" i="5"/>
  <c r="S543" i="5"/>
  <c r="R543" i="5"/>
  <c r="R114" i="5"/>
  <c r="S114" i="5"/>
  <c r="S382" i="5"/>
  <c r="R382" i="5"/>
  <c r="S438" i="5"/>
  <c r="R438" i="5"/>
  <c r="S518" i="5"/>
  <c r="R518" i="5"/>
  <c r="S293" i="5"/>
  <c r="R293" i="5"/>
  <c r="S326" i="5"/>
  <c r="R326" i="5"/>
  <c r="S463" i="5"/>
  <c r="R463" i="5"/>
  <c r="R207" i="5"/>
  <c r="S207" i="5"/>
  <c r="R336" i="5"/>
  <c r="S336" i="5"/>
  <c r="R132" i="5"/>
  <c r="S132" i="5"/>
  <c r="R62" i="5"/>
  <c r="S62" i="5"/>
  <c r="S321" i="5"/>
  <c r="R321" i="5"/>
  <c r="R327" i="5"/>
  <c r="S327" i="5"/>
  <c r="S215" i="5"/>
  <c r="R215" i="5"/>
  <c r="R272" i="5"/>
  <c r="S272" i="5"/>
  <c r="R96" i="5"/>
  <c r="S96" i="5"/>
  <c r="S513" i="5"/>
  <c r="R513" i="5"/>
  <c r="S217" i="5"/>
  <c r="R217" i="5"/>
  <c r="R161" i="5"/>
  <c r="S161" i="5"/>
  <c r="R547" i="5"/>
  <c r="S547" i="5"/>
  <c r="S322" i="5"/>
  <c r="R322" i="5"/>
  <c r="S70" i="5"/>
  <c r="R70" i="5"/>
  <c r="R89" i="5"/>
  <c r="S89" i="5"/>
  <c r="R458" i="5"/>
  <c r="S458" i="5"/>
  <c r="R317" i="5"/>
  <c r="S317" i="5"/>
  <c r="S286" i="5"/>
  <c r="R286" i="5"/>
  <c r="R173" i="5"/>
  <c r="S173" i="5"/>
  <c r="R517" i="5"/>
  <c r="S517" i="5"/>
  <c r="S117" i="5"/>
  <c r="R117" i="5"/>
  <c r="S33" i="5"/>
  <c r="R33" i="5"/>
  <c r="R534" i="5"/>
  <c r="S534" i="5"/>
  <c r="R194" i="5"/>
  <c r="S194" i="5"/>
  <c r="R285" i="5"/>
  <c r="S285" i="5"/>
  <c r="S214" i="5"/>
  <c r="R214" i="5"/>
  <c r="R455" i="5"/>
  <c r="S455" i="5"/>
  <c r="S79" i="5"/>
  <c r="R79" i="5"/>
  <c r="S339" i="5"/>
  <c r="R339" i="5"/>
  <c r="S325" i="5"/>
  <c r="R325" i="5"/>
  <c r="S404" i="5"/>
  <c r="R404" i="5"/>
  <c r="S424" i="5"/>
  <c r="R424" i="5"/>
  <c r="R385" i="5"/>
  <c r="S385" i="5"/>
  <c r="R53" i="5"/>
  <c r="S53" i="5"/>
  <c r="AN24" i="4"/>
  <c r="AF24" i="4"/>
  <c r="AG24" i="4" s="1"/>
  <c r="AI24" i="4" s="1"/>
  <c r="AK24" i="4"/>
  <c r="AL24" i="4" s="1"/>
  <c r="AN50" i="4"/>
  <c r="AF50" i="4"/>
  <c r="AG50" i="4" s="1"/>
  <c r="AI50" i="4" s="1"/>
  <c r="AC248" i="5"/>
  <c r="AC235" i="5"/>
  <c r="AC218" i="5"/>
  <c r="AC525" i="5"/>
  <c r="AC304" i="5"/>
  <c r="AC494" i="5"/>
  <c r="AN8" i="4"/>
  <c r="AK8" i="4"/>
  <c r="AL8" i="4" s="1"/>
  <c r="AF8" i="4"/>
  <c r="AG8" i="4" s="1"/>
  <c r="AI8" i="4" s="1"/>
  <c r="AN15" i="4"/>
  <c r="AF15" i="4"/>
  <c r="AG15" i="4" s="1"/>
  <c r="AI15" i="4" s="1"/>
  <c r="AK15" i="4"/>
  <c r="AL15" i="4" s="1"/>
  <c r="AQ524" i="5"/>
  <c r="AR524" i="5"/>
  <c r="BI524" i="5"/>
  <c r="BK131" i="5"/>
  <c r="BJ131" i="5"/>
  <c r="BK30" i="5"/>
  <c r="BJ30" i="5"/>
  <c r="AK115" i="4"/>
  <c r="AL115" i="4" s="1"/>
  <c r="AN115" i="4"/>
  <c r="AF115" i="4"/>
  <c r="AG115" i="4" s="1"/>
  <c r="AI115" i="4" s="1"/>
  <c r="AN21" i="4"/>
  <c r="AK21" i="4"/>
  <c r="AL21" i="4" s="1"/>
  <c r="AF21" i="4"/>
  <c r="AG21" i="4" s="1"/>
  <c r="AI21" i="4" s="1"/>
  <c r="AR452" i="5"/>
  <c r="BI452" i="5"/>
  <c r="AQ452" i="5"/>
  <c r="BK440" i="5"/>
  <c r="BJ440" i="5"/>
  <c r="BK98" i="5"/>
  <c r="BJ98" i="5"/>
  <c r="BK189" i="5"/>
  <c r="BJ189" i="5"/>
  <c r="BJ234" i="5"/>
  <c r="BK234" i="5"/>
  <c r="AN32" i="4"/>
  <c r="AF32" i="4"/>
  <c r="AG32" i="4" s="1"/>
  <c r="AI32" i="4" s="1"/>
  <c r="AN42" i="4"/>
  <c r="AF42" i="4"/>
  <c r="AG42" i="4" s="1"/>
  <c r="AI42" i="4" s="1"/>
  <c r="AP153" i="4"/>
  <c r="AQ153" i="4"/>
  <c r="AC153" i="4"/>
  <c r="AD153" i="4" s="1"/>
  <c r="AQ157" i="4"/>
  <c r="AP157" i="4"/>
  <c r="AC157" i="4"/>
  <c r="AD157" i="4" s="1"/>
  <c r="AN71" i="4"/>
  <c r="AK71" i="4"/>
  <c r="AL71" i="4" s="1"/>
  <c r="AF71" i="4"/>
  <c r="AG71" i="4" s="1"/>
  <c r="AI71" i="4" s="1"/>
  <c r="BK305" i="5"/>
  <c r="BJ305" i="5"/>
  <c r="BK112" i="5"/>
  <c r="BJ112" i="5"/>
  <c r="BJ415" i="5"/>
  <c r="BK415" i="5"/>
  <c r="BJ334" i="5"/>
  <c r="BK334" i="5"/>
  <c r="BJ385" i="5"/>
  <c r="BK385" i="5"/>
  <c r="BK323" i="5"/>
  <c r="BJ323" i="5"/>
  <c r="BJ161" i="5"/>
  <c r="BK161" i="5"/>
  <c r="BJ222" i="5"/>
  <c r="BK222" i="5"/>
  <c r="BK160" i="5"/>
  <c r="BJ160" i="5"/>
  <c r="BJ479" i="5"/>
  <c r="BK479" i="5"/>
  <c r="BK239" i="5"/>
  <c r="BJ239" i="5"/>
  <c r="BJ553" i="5"/>
  <c r="BK553" i="5"/>
  <c r="AQ54" i="5"/>
  <c r="BI54" i="5"/>
  <c r="AR54" i="5"/>
  <c r="BK271" i="5"/>
  <c r="BJ271" i="5"/>
  <c r="BJ174" i="5"/>
  <c r="BK174" i="5"/>
  <c r="AK41" i="4"/>
  <c r="AL41" i="4" s="1"/>
  <c r="AN41" i="4"/>
  <c r="AF41" i="4"/>
  <c r="AG41" i="4" s="1"/>
  <c r="AI41" i="4" s="1"/>
  <c r="AN39" i="4"/>
  <c r="AK39" i="4"/>
  <c r="AL39" i="4" s="1"/>
  <c r="AF39" i="4"/>
  <c r="AG39" i="4" s="1"/>
  <c r="AI39" i="4" s="1"/>
  <c r="AQ119" i="4"/>
  <c r="AP119" i="4"/>
  <c r="AC119" i="4"/>
  <c r="AD119" i="4" s="1"/>
  <c r="BJ206" i="5"/>
  <c r="BK206" i="5"/>
  <c r="BJ169" i="5"/>
  <c r="BK169" i="5"/>
  <c r="AQ372" i="5"/>
  <c r="AR372" i="5"/>
  <c r="BI372" i="5"/>
  <c r="BK207" i="5"/>
  <c r="BJ207" i="5"/>
  <c r="BJ175" i="5"/>
  <c r="BK175" i="5"/>
  <c r="BK384" i="5"/>
  <c r="BJ384" i="5"/>
  <c r="BK121" i="5"/>
  <c r="BJ121" i="5"/>
  <c r="BJ103" i="5"/>
  <c r="BK103" i="5"/>
  <c r="BJ409" i="5"/>
  <c r="BK409" i="5"/>
  <c r="BK220" i="5"/>
  <c r="BJ220" i="5"/>
  <c r="BI485" i="5"/>
  <c r="AR485" i="5"/>
  <c r="AQ485" i="5"/>
  <c r="BJ383" i="5"/>
  <c r="BK383" i="5"/>
  <c r="BK306" i="5"/>
  <c r="BJ306" i="5"/>
  <c r="BK289" i="5"/>
  <c r="BJ289" i="5"/>
  <c r="BK113" i="5"/>
  <c r="BJ113" i="5"/>
  <c r="S63" i="5"/>
  <c r="R63" i="5"/>
  <c r="S282" i="5"/>
  <c r="R282" i="5"/>
  <c r="S522" i="5"/>
  <c r="R522" i="5"/>
  <c r="S318" i="5"/>
  <c r="R318" i="5"/>
  <c r="R303" i="5"/>
  <c r="S303" i="5"/>
  <c r="S443" i="5"/>
  <c r="R443" i="5"/>
  <c r="S210" i="5"/>
  <c r="R210" i="5"/>
  <c r="R509" i="5"/>
  <c r="S509" i="5"/>
  <c r="S298" i="5"/>
  <c r="R298" i="5"/>
  <c r="S497" i="5"/>
  <c r="R497" i="5"/>
  <c r="S191" i="5"/>
  <c r="R191" i="5"/>
  <c r="S91" i="5"/>
  <c r="R91" i="5"/>
  <c r="R237" i="5"/>
  <c r="S237" i="5"/>
  <c r="R93" i="5"/>
  <c r="S93" i="5"/>
  <c r="S527" i="5"/>
  <c r="R527" i="5"/>
  <c r="S60" i="5"/>
  <c r="R60" i="5"/>
  <c r="R180" i="5"/>
  <c r="S180" i="5"/>
  <c r="S116" i="5"/>
  <c r="R116" i="5"/>
  <c r="S249" i="5"/>
  <c r="R249" i="5"/>
  <c r="S71" i="5"/>
  <c r="R71" i="5"/>
  <c r="R120" i="5"/>
  <c r="S120" i="5"/>
  <c r="S65" i="5"/>
  <c r="R65" i="5"/>
  <c r="R476" i="5"/>
  <c r="S476" i="5"/>
  <c r="R462" i="5"/>
  <c r="S462" i="5"/>
  <c r="S306" i="5"/>
  <c r="R306" i="5"/>
  <c r="R206" i="5"/>
  <c r="S206" i="5"/>
  <c r="R391" i="5"/>
  <c r="S391" i="5"/>
  <c r="R231" i="5"/>
  <c r="S231" i="5"/>
  <c r="R342" i="5"/>
  <c r="S342" i="5"/>
  <c r="R218" i="5"/>
  <c r="S218" i="5"/>
  <c r="S539" i="5"/>
  <c r="R539" i="5"/>
  <c r="S376" i="5"/>
  <c r="R376" i="5"/>
  <c r="R50" i="5"/>
  <c r="S50" i="5"/>
  <c r="S252" i="5"/>
  <c r="R252" i="5"/>
  <c r="R188" i="5"/>
  <c r="S188" i="5"/>
  <c r="R67" i="5"/>
  <c r="S67" i="5"/>
  <c r="R383" i="5"/>
  <c r="S383" i="5"/>
  <c r="S235" i="5"/>
  <c r="R235" i="5"/>
  <c r="S226" i="5"/>
  <c r="R226" i="5"/>
  <c r="R94" i="5"/>
  <c r="S94" i="5"/>
  <c r="S112" i="5"/>
  <c r="R112" i="5"/>
  <c r="R493" i="5"/>
  <c r="S493" i="5"/>
  <c r="R353" i="5"/>
  <c r="S353" i="5"/>
  <c r="S316" i="5"/>
  <c r="R316" i="5"/>
  <c r="S310" i="5"/>
  <c r="R310" i="5"/>
  <c r="S86" i="5"/>
  <c r="R86" i="5"/>
  <c r="S478" i="5"/>
  <c r="R478" i="5"/>
  <c r="S87" i="5"/>
  <c r="R87" i="5"/>
  <c r="S260" i="5"/>
  <c r="R260" i="5"/>
  <c r="S502" i="5"/>
  <c r="R502" i="5"/>
  <c r="R241" i="5"/>
  <c r="S241" i="5"/>
  <c r="R410" i="5"/>
  <c r="S410" i="5"/>
  <c r="R430" i="5"/>
  <c r="S430" i="5"/>
  <c r="S354" i="5"/>
  <c r="R354" i="5"/>
  <c r="S122" i="5"/>
  <c r="R122" i="5"/>
  <c r="R192" i="5"/>
  <c r="S192" i="5"/>
  <c r="S220" i="5"/>
  <c r="R220" i="5"/>
  <c r="R32" i="5"/>
  <c r="S32" i="5"/>
  <c r="S417" i="5"/>
  <c r="R417" i="5"/>
  <c r="R308" i="5"/>
  <c r="S308" i="5"/>
  <c r="R314" i="5"/>
  <c r="S314" i="5"/>
  <c r="S254" i="5"/>
  <c r="R254" i="5"/>
  <c r="R166" i="5"/>
  <c r="S166" i="5"/>
  <c r="R101" i="5"/>
  <c r="S101" i="5"/>
  <c r="S545" i="5"/>
  <c r="R545" i="5"/>
  <c r="R305" i="5"/>
  <c r="S305" i="5"/>
  <c r="S498" i="5"/>
  <c r="R498" i="5"/>
  <c r="S352" i="5"/>
  <c r="R352" i="5"/>
  <c r="S51" i="5"/>
  <c r="R51" i="5"/>
  <c r="S10" i="5"/>
  <c r="R10" i="5"/>
  <c r="R548" i="5"/>
  <c r="S548" i="5"/>
  <c r="R422" i="5"/>
  <c r="S422" i="5"/>
  <c r="S440" i="5"/>
  <c r="R440" i="5"/>
  <c r="R175" i="5"/>
  <c r="S175" i="5"/>
  <c r="S251" i="5"/>
  <c r="R251" i="5"/>
  <c r="S243" i="5"/>
  <c r="R243" i="5"/>
  <c r="S472" i="5"/>
  <c r="R472" i="5"/>
  <c r="S492" i="5"/>
  <c r="R492" i="5"/>
  <c r="R338" i="5"/>
  <c r="S338" i="5"/>
  <c r="S130" i="5"/>
  <c r="R130" i="5"/>
  <c r="S456" i="5"/>
  <c r="R456" i="5"/>
  <c r="S399" i="5"/>
  <c r="R399" i="5"/>
  <c r="S329" i="5"/>
  <c r="R329" i="5"/>
  <c r="S377" i="5"/>
  <c r="R377" i="5"/>
  <c r="R38" i="5"/>
  <c r="S38" i="5"/>
  <c r="R364" i="5"/>
  <c r="S364" i="5"/>
  <c r="R250" i="5"/>
  <c r="S250" i="5"/>
  <c r="R528" i="5"/>
  <c r="S528" i="5"/>
  <c r="R477" i="5"/>
  <c r="S477" i="5"/>
  <c r="S411" i="5"/>
  <c r="R411" i="5"/>
  <c r="R213" i="5"/>
  <c r="S213" i="5"/>
  <c r="S501" i="5"/>
  <c r="R501" i="5"/>
  <c r="R73" i="5"/>
  <c r="S73" i="5"/>
  <c r="R199" i="5"/>
  <c r="S199" i="5"/>
  <c r="R484" i="5"/>
  <c r="S484" i="5"/>
  <c r="S409" i="5"/>
  <c r="R409" i="5"/>
  <c r="R27" i="5"/>
  <c r="S27" i="5"/>
  <c r="S211" i="5"/>
  <c r="R211" i="5"/>
  <c r="S304" i="5"/>
  <c r="R304" i="5"/>
  <c r="R26" i="5"/>
  <c r="S26" i="5"/>
  <c r="S58" i="5"/>
  <c r="R58" i="5"/>
  <c r="R184" i="5"/>
  <c r="S184" i="5"/>
  <c r="S348" i="5"/>
  <c r="R348" i="5"/>
  <c r="S328" i="5"/>
  <c r="R328" i="5"/>
  <c r="R448" i="5"/>
  <c r="S448" i="5"/>
  <c r="S23" i="5"/>
  <c r="R23" i="5"/>
  <c r="S388" i="5"/>
  <c r="R388" i="5"/>
  <c r="R224" i="5"/>
  <c r="S224" i="5"/>
  <c r="S52" i="5"/>
  <c r="R52" i="5"/>
  <c r="R104" i="5"/>
  <c r="S104" i="5"/>
  <c r="R97" i="5"/>
  <c r="S97" i="5"/>
  <c r="R108" i="5"/>
  <c r="S108" i="5"/>
  <c r="S146" i="5"/>
  <c r="R146" i="5"/>
  <c r="R361" i="5"/>
  <c r="S361" i="5"/>
  <c r="S124" i="5"/>
  <c r="R124" i="5"/>
  <c r="R503" i="5"/>
  <c r="S503" i="5"/>
  <c r="S144" i="5"/>
  <c r="R144" i="5"/>
  <c r="S465" i="5"/>
  <c r="R465" i="5"/>
  <c r="S274" i="5"/>
  <c r="R274" i="5"/>
  <c r="R119" i="5"/>
  <c r="S119" i="5"/>
  <c r="R55" i="5"/>
  <c r="S55" i="5"/>
  <c r="S540" i="5"/>
  <c r="R540" i="5"/>
  <c r="R362" i="5"/>
  <c r="S362" i="5"/>
  <c r="R531" i="5"/>
  <c r="S531" i="5"/>
  <c r="S103" i="5"/>
  <c r="R103" i="5"/>
  <c r="S158" i="5"/>
  <c r="R158" i="5"/>
  <c r="S133" i="5"/>
  <c r="R133" i="5"/>
  <c r="S143" i="5"/>
  <c r="R143" i="5"/>
  <c r="R366" i="5"/>
  <c r="S366" i="5"/>
  <c r="R421" i="5"/>
  <c r="S421" i="5"/>
  <c r="S48" i="5"/>
  <c r="R48" i="5"/>
  <c r="R471" i="5"/>
  <c r="S471" i="5"/>
  <c r="R392" i="5"/>
  <c r="S392" i="5"/>
  <c r="R177" i="5"/>
  <c r="S177" i="5"/>
  <c r="S418" i="5"/>
  <c r="R418" i="5"/>
  <c r="R287" i="5"/>
  <c r="S287" i="5"/>
  <c r="S408" i="5"/>
  <c r="R408" i="5"/>
  <c r="BH7" i="5"/>
  <c r="BM7" i="5" s="1"/>
  <c r="BG7" i="5"/>
  <c r="BL7" i="5" s="1"/>
  <c r="BJ217" i="5"/>
  <c r="BK217" i="5"/>
  <c r="AK53" i="4"/>
  <c r="AL53" i="4" s="1"/>
  <c r="AN53" i="4"/>
  <c r="AF53" i="4"/>
  <c r="AG53" i="4" s="1"/>
  <c r="AI53" i="4" s="1"/>
  <c r="AC35" i="5"/>
  <c r="AC517" i="5"/>
  <c r="AC444" i="5"/>
  <c r="AC367" i="5"/>
  <c r="AC60" i="5"/>
  <c r="AC496" i="5"/>
  <c r="AC302" i="5"/>
  <c r="AC239" i="5"/>
  <c r="AC188" i="5"/>
  <c r="AC39" i="5"/>
  <c r="AC386" i="5"/>
  <c r="AC529" i="5"/>
  <c r="AC392" i="5"/>
  <c r="AC59" i="5"/>
  <c r="AC355" i="5"/>
  <c r="AC354" i="5"/>
  <c r="AC250" i="5"/>
  <c r="AC310" i="5"/>
  <c r="AC404" i="5"/>
  <c r="AC398" i="5"/>
  <c r="AC200" i="5"/>
  <c r="AC520" i="5"/>
  <c r="AC192" i="5"/>
  <c r="AC179" i="5"/>
  <c r="AC163" i="5"/>
  <c r="AC169" i="5"/>
  <c r="AC78" i="5"/>
  <c r="AC216" i="5"/>
  <c r="AC317" i="5"/>
  <c r="AC146" i="5"/>
  <c r="AC215" i="5"/>
  <c r="AC340" i="5"/>
  <c r="AC219" i="5"/>
  <c r="AC189" i="5"/>
  <c r="AC196" i="5"/>
  <c r="AC365" i="5"/>
  <c r="AC54" i="5"/>
  <c r="AC548" i="5"/>
  <c r="AC536" i="5"/>
  <c r="AC138" i="5"/>
  <c r="AC481" i="5"/>
  <c r="AC136" i="5"/>
  <c r="AC305" i="5"/>
  <c r="AC23" i="5"/>
  <c r="AC321" i="5"/>
  <c r="AC359" i="5"/>
  <c r="AC306" i="5"/>
  <c r="AC255" i="5"/>
  <c r="AC342" i="5"/>
  <c r="AC274" i="5"/>
  <c r="AC347" i="5"/>
  <c r="AC263" i="5"/>
  <c r="AC491" i="5"/>
  <c r="AC237" i="5"/>
  <c r="AC154" i="5"/>
  <c r="AC285" i="5"/>
  <c r="AC426" i="5"/>
  <c r="AC532" i="5"/>
  <c r="AC530" i="5"/>
  <c r="AC267" i="5"/>
  <c r="AC252" i="5"/>
  <c r="AC523" i="5"/>
  <c r="AC389" i="5"/>
  <c r="AC476" i="5"/>
  <c r="AC168" i="5"/>
  <c r="AC159" i="5"/>
  <c r="AC335" i="5"/>
  <c r="AC266" i="5"/>
  <c r="AC290" i="5"/>
  <c r="AC99" i="5"/>
  <c r="AC223" i="5"/>
  <c r="AC307" i="5"/>
  <c r="AC526" i="5"/>
  <c r="AC229" i="5"/>
  <c r="AC155" i="5"/>
  <c r="AC121" i="5"/>
  <c r="AC477" i="5"/>
  <c r="AC394" i="5"/>
  <c r="AC323" i="5"/>
  <c r="AC449" i="5"/>
  <c r="AC231" i="5"/>
  <c r="AC495" i="5"/>
  <c r="AC33" i="5"/>
  <c r="AC535" i="5"/>
  <c r="AC538" i="5"/>
  <c r="AC412" i="5"/>
  <c r="AC82" i="5"/>
  <c r="AC435" i="5"/>
  <c r="AC112" i="5"/>
  <c r="AC262" i="5"/>
  <c r="AC346" i="5"/>
  <c r="AC457" i="5"/>
  <c r="AC185" i="5"/>
  <c r="AC417" i="5"/>
  <c r="AC399" i="5"/>
  <c r="AC171" i="5"/>
  <c r="AC482" i="5"/>
  <c r="AC339" i="5"/>
  <c r="AC74" i="5"/>
  <c r="AC124" i="5"/>
  <c r="AC429" i="5"/>
  <c r="AC349" i="5"/>
  <c r="AC153" i="5"/>
  <c r="AC162" i="5"/>
  <c r="AC243" i="5"/>
  <c r="AC195" i="5"/>
  <c r="AC301" i="5"/>
  <c r="AC402" i="5"/>
  <c r="AC245" i="5"/>
  <c r="AC329" i="5"/>
  <c r="AC458" i="5"/>
  <c r="AC324" i="5"/>
  <c r="AC370" i="5"/>
  <c r="AC554" i="5"/>
  <c r="AC87" i="5"/>
  <c r="AC277" i="5"/>
  <c r="AC254" i="5"/>
  <c r="AC164" i="5"/>
  <c r="AC353" i="5"/>
  <c r="AC473" i="5"/>
  <c r="AC8" i="5"/>
  <c r="AC500" i="5"/>
  <c r="AC209" i="5"/>
  <c r="AC421" i="5"/>
  <c r="AC88" i="5"/>
  <c r="AC110" i="5"/>
  <c r="AC181" i="5"/>
  <c r="AC415" i="5"/>
  <c r="AC144" i="5"/>
  <c r="AC328" i="5"/>
  <c r="AC341" i="5"/>
  <c r="AC542" i="5"/>
  <c r="AC431" i="5"/>
  <c r="AC137" i="5"/>
  <c r="AC19" i="5"/>
  <c r="AC28" i="5"/>
  <c r="AC44" i="5"/>
  <c r="AQ139" i="4"/>
  <c r="AC139" i="4"/>
  <c r="AD139" i="4" s="1"/>
  <c r="AP139" i="4"/>
  <c r="AP104" i="4"/>
  <c r="AQ104" i="4"/>
  <c r="AC104" i="4"/>
  <c r="AD104" i="4" s="1"/>
  <c r="BJ27" i="5"/>
  <c r="BK27" i="5"/>
  <c r="BJ208" i="5"/>
  <c r="BK208" i="5"/>
  <c r="BJ399" i="5"/>
  <c r="BK399" i="5"/>
  <c r="BJ66" i="5"/>
  <c r="BK66" i="5"/>
  <c r="BK23" i="5"/>
  <c r="BJ23" i="5"/>
  <c r="AQ411" i="5"/>
  <c r="BI411" i="5"/>
  <c r="AR411" i="5"/>
  <c r="AQ446" i="5"/>
  <c r="BI446" i="5"/>
  <c r="AR446" i="5"/>
  <c r="BK343" i="5"/>
  <c r="BJ343" i="5"/>
  <c r="AP87" i="4"/>
  <c r="AQ87" i="4"/>
  <c r="AC87" i="4"/>
  <c r="AD87" i="4" s="1"/>
  <c r="AF25" i="4"/>
  <c r="AG25" i="4" s="1"/>
  <c r="AI25" i="4" s="1"/>
  <c r="AK25" i="4"/>
  <c r="AL25" i="4" s="1"/>
  <c r="AN25" i="4"/>
  <c r="AN27" i="4"/>
  <c r="AK27" i="4"/>
  <c r="AL27" i="4" s="1"/>
  <c r="AF27" i="4"/>
  <c r="AG27" i="4" s="1"/>
  <c r="AI27" i="4" s="1"/>
  <c r="BJ170" i="5"/>
  <c r="BK170" i="5"/>
  <c r="BK240" i="5"/>
  <c r="BJ240" i="5"/>
  <c r="BJ472" i="5"/>
  <c r="BK472" i="5"/>
  <c r="BK145" i="5"/>
  <c r="BJ145" i="5"/>
  <c r="BK356" i="5"/>
  <c r="BJ356" i="5"/>
  <c r="AC133" i="5"/>
  <c r="AC454" i="5"/>
  <c r="AC92" i="5"/>
  <c r="AC75" i="5"/>
  <c r="AC193" i="5"/>
  <c r="AC280" i="5"/>
  <c r="AC413" i="5"/>
  <c r="AC244" i="5"/>
  <c r="AC356" i="5"/>
  <c r="AC283" i="5"/>
  <c r="AC456" i="5"/>
  <c r="AC546" i="5"/>
  <c r="AC371" i="5"/>
  <c r="AC557" i="5"/>
  <c r="AC94" i="5"/>
  <c r="AC484" i="5"/>
  <c r="AC460" i="5"/>
  <c r="AC336" i="5"/>
  <c r="AC228" i="5"/>
  <c r="AC174" i="5"/>
  <c r="AC198" i="5"/>
  <c r="AC152" i="5"/>
  <c r="AC173" i="5"/>
  <c r="AC469" i="5"/>
  <c r="AC395" i="5"/>
  <c r="AC251" i="5"/>
  <c r="AC117" i="5"/>
  <c r="AC241" i="5"/>
  <c r="AC407" i="5"/>
  <c r="AC420" i="5"/>
  <c r="AC48" i="5"/>
  <c r="AC471" i="5"/>
  <c r="AC89" i="5"/>
  <c r="AC143" i="5"/>
  <c r="AC428" i="5"/>
  <c r="AC211" i="5"/>
  <c r="AC57" i="5"/>
  <c r="AC490" i="5"/>
  <c r="AC493" i="5"/>
  <c r="AC472" i="5"/>
  <c r="AC177" i="5"/>
  <c r="AC291" i="5"/>
  <c r="AC547" i="5"/>
  <c r="AC199" i="5"/>
  <c r="AC374" i="5"/>
  <c r="AC480" i="5"/>
  <c r="AC351" i="5"/>
  <c r="AC433" i="5"/>
  <c r="AC105" i="5"/>
  <c r="AC497" i="5"/>
  <c r="AC288" i="5"/>
  <c r="AC25" i="5"/>
  <c r="AC427" i="5"/>
  <c r="AC130" i="5"/>
  <c r="AC388" i="5"/>
  <c r="AC483" i="5"/>
  <c r="AC505" i="5"/>
  <c r="AC100" i="5"/>
  <c r="AC53" i="5"/>
  <c r="AC151" i="5"/>
  <c r="AC264" i="5"/>
  <c r="AC156" i="5"/>
  <c r="AC512" i="5"/>
  <c r="AC275" i="5"/>
  <c r="AC303" i="5"/>
  <c r="AC343" i="5"/>
  <c r="AC452" i="5"/>
  <c r="AC67" i="5"/>
  <c r="AC314" i="5"/>
  <c r="AC68" i="5"/>
  <c r="AC295" i="5"/>
  <c r="AC378" i="5"/>
  <c r="AC539" i="5"/>
  <c r="AC65" i="5"/>
  <c r="AC253" i="5"/>
  <c r="AC545" i="5"/>
  <c r="AC47" i="5"/>
  <c r="AC425" i="5"/>
  <c r="AC432" i="5"/>
  <c r="AC333" i="5"/>
  <c r="AC450" i="5"/>
  <c r="AC271" i="5"/>
  <c r="AC287" i="5"/>
  <c r="AC95" i="5"/>
  <c r="AC120" i="5"/>
  <c r="AC289" i="5"/>
  <c r="AC544" i="5"/>
  <c r="AC486" i="5"/>
  <c r="AC488" i="5"/>
  <c r="AC487" i="5"/>
  <c r="AC128" i="5"/>
  <c r="AC203" i="5"/>
  <c r="AC453" i="5"/>
  <c r="AC220" i="5"/>
  <c r="AC191" i="5"/>
  <c r="AC322" i="5"/>
  <c r="AC381" i="5"/>
  <c r="AC207" i="5"/>
  <c r="AC474" i="5"/>
  <c r="AC424" i="5"/>
  <c r="AC41" i="5"/>
  <c r="AC279" i="5"/>
  <c r="AC93" i="5"/>
  <c r="AC393" i="5"/>
  <c r="AC331" i="5"/>
  <c r="AC150" i="5"/>
  <c r="AC236" i="5"/>
  <c r="AC352" i="5"/>
  <c r="AC551" i="5"/>
  <c r="AC549" i="5"/>
  <c r="AC83" i="5"/>
  <c r="AC234" i="5"/>
  <c r="AC316" i="5"/>
  <c r="AC372" i="5"/>
  <c r="AC51" i="5"/>
  <c r="AC187" i="5"/>
  <c r="AC309" i="5"/>
  <c r="AC437" i="5"/>
  <c r="AC507" i="5"/>
  <c r="AC558" i="5"/>
  <c r="AC522" i="5"/>
  <c r="AC210" i="5"/>
  <c r="AC166" i="5"/>
  <c r="AC258" i="5"/>
  <c r="AC70" i="5"/>
  <c r="AC21" i="5"/>
  <c r="AC76" i="5"/>
  <c r="AC282" i="5"/>
  <c r="AC29" i="5"/>
  <c r="AC541" i="5"/>
  <c r="AN51" i="4"/>
  <c r="AK51" i="4"/>
  <c r="AL51" i="4" s="1"/>
  <c r="AF51" i="4"/>
  <c r="AG51" i="4" s="1"/>
  <c r="AI51" i="4" s="1"/>
  <c r="BJ196" i="5"/>
  <c r="BK196" i="5"/>
  <c r="BK436" i="5"/>
  <c r="BJ436" i="5"/>
  <c r="BK182" i="5"/>
  <c r="BJ182" i="5"/>
  <c r="BJ184" i="5"/>
  <c r="BK184" i="5"/>
  <c r="AK120" i="4"/>
  <c r="AL120" i="4" s="1"/>
  <c r="AF120" i="4"/>
  <c r="AG120" i="4" s="1"/>
  <c r="AI120" i="4" s="1"/>
  <c r="AN120" i="4"/>
  <c r="BK94" i="5"/>
  <c r="BJ94" i="5"/>
  <c r="BK135" i="5"/>
  <c r="BJ135" i="5"/>
  <c r="BK490" i="5"/>
  <c r="BJ490" i="5"/>
  <c r="BK156" i="5"/>
  <c r="BJ156" i="5"/>
  <c r="BK45" i="5"/>
  <c r="BJ45" i="5"/>
  <c r="BJ392" i="5"/>
  <c r="BK392" i="5"/>
  <c r="BJ107" i="5"/>
  <c r="BK107" i="5"/>
  <c r="AQ176" i="5"/>
  <c r="AR176" i="5"/>
  <c r="BI176" i="5"/>
  <c r="BJ483" i="5"/>
  <c r="BK483" i="5"/>
  <c r="BJ199" i="5"/>
  <c r="BK199" i="5"/>
  <c r="BK221" i="5"/>
  <c r="BJ221" i="5"/>
  <c r="BK494" i="5"/>
  <c r="BJ494" i="5"/>
  <c r="BK22" i="5"/>
  <c r="BJ22" i="5"/>
  <c r="BJ275" i="5"/>
  <c r="BK275" i="5"/>
  <c r="BJ316" i="5"/>
  <c r="BK316" i="5"/>
  <c r="AN29" i="4"/>
  <c r="AK29" i="4"/>
  <c r="AL29" i="4" s="1"/>
  <c r="AF29" i="4"/>
  <c r="AG29" i="4" s="1"/>
  <c r="AI29" i="4" s="1"/>
  <c r="AQ138" i="4"/>
  <c r="AP138" i="4"/>
  <c r="AC138" i="4"/>
  <c r="AD138" i="4" s="1"/>
  <c r="BJ304" i="5"/>
  <c r="BK304" i="5"/>
  <c r="BK286" i="5"/>
  <c r="BJ286" i="5"/>
  <c r="AN9" i="4"/>
  <c r="AK9" i="4"/>
  <c r="AL9" i="4" s="1"/>
  <c r="AF9" i="4"/>
  <c r="AG9" i="4" s="1"/>
  <c r="AI9" i="4" s="1"/>
  <c r="BJ333" i="5"/>
  <c r="BK333" i="5"/>
  <c r="BJ124" i="5"/>
  <c r="BK124" i="5"/>
  <c r="BJ38" i="5"/>
  <c r="BK38" i="5"/>
  <c r="AC556" i="5"/>
  <c r="AC345" i="5"/>
  <c r="AC233" i="5"/>
  <c r="AC238" i="5"/>
  <c r="AC32" i="5"/>
  <c r="AC232" i="5"/>
  <c r="AC127" i="5"/>
  <c r="AC270" i="5"/>
  <c r="AC10" i="5"/>
  <c r="AC503" i="5"/>
  <c r="AC212" i="5"/>
  <c r="AC145" i="5"/>
  <c r="AC259" i="5"/>
  <c r="AC157" i="5"/>
  <c r="AC227" i="5"/>
  <c r="AC126" i="5"/>
  <c r="AC12" i="5"/>
  <c r="AC334" i="5"/>
  <c r="AC161" i="5"/>
  <c r="AC461" i="5"/>
  <c r="AC293" i="5"/>
  <c r="AC318" i="5"/>
  <c r="AC114" i="5"/>
  <c r="AC176" i="5"/>
  <c r="AC284" i="5"/>
  <c r="AC106" i="5"/>
  <c r="AC86" i="5"/>
  <c r="AC501" i="5"/>
  <c r="AC396" i="5"/>
  <c r="AC205" i="5"/>
  <c r="AC511" i="5"/>
  <c r="AC247" i="5"/>
  <c r="AC63" i="5"/>
  <c r="AC516" i="5"/>
  <c r="AC533" i="5"/>
  <c r="AC508" i="5"/>
  <c r="AC186" i="5"/>
  <c r="AC20" i="5"/>
  <c r="AC246" i="5"/>
  <c r="AC190" i="5"/>
  <c r="AC366" i="5"/>
  <c r="AC182" i="5"/>
  <c r="AC434" i="5"/>
  <c r="AC118" i="5"/>
  <c r="AC66" i="5"/>
  <c r="AC552" i="5"/>
  <c r="AC506" i="5"/>
  <c r="AC201" i="5"/>
  <c r="AC296" i="5"/>
  <c r="AC510" i="5"/>
  <c r="AC222" i="5"/>
  <c r="AC397" i="5"/>
  <c r="AC73" i="5"/>
  <c r="AC308" i="5"/>
  <c r="AC204" i="5"/>
  <c r="AC414" i="5"/>
  <c r="AC327" i="5"/>
  <c r="AC208" i="5"/>
  <c r="AC240" i="5"/>
  <c r="AC178" i="5"/>
  <c r="AC325" i="5"/>
  <c r="AC139" i="5"/>
  <c r="AC555" i="5"/>
  <c r="AC230" i="5"/>
  <c r="AC55" i="5"/>
  <c r="AC470" i="5"/>
  <c r="AC411" i="5"/>
  <c r="AC22" i="5"/>
  <c r="AC268" i="5"/>
  <c r="AC519" i="5"/>
  <c r="AC61" i="5"/>
  <c r="AC269" i="5"/>
  <c r="AC194" i="5"/>
  <c r="AC383" i="5"/>
  <c r="AC492" i="5"/>
  <c r="AC79" i="5"/>
  <c r="AC543" i="5"/>
  <c r="AC122" i="5"/>
  <c r="AC465" i="5"/>
  <c r="AC509" i="5"/>
  <c r="AC72" i="5"/>
  <c r="AC479" i="5"/>
  <c r="AC403" i="5"/>
  <c r="AC320" i="5"/>
  <c r="AC217" i="5"/>
  <c r="AC104" i="5"/>
  <c r="AC401" i="5"/>
  <c r="AC132" i="5"/>
  <c r="AC515" i="5"/>
  <c r="AC134" i="5"/>
  <c r="AC440" i="5"/>
  <c r="AC214" i="5"/>
  <c r="AC332" i="5"/>
  <c r="AC513" i="5"/>
  <c r="AC31" i="5"/>
  <c r="AC36" i="5"/>
  <c r="AC406" i="5"/>
  <c r="AC531" i="5"/>
  <c r="AC98" i="5"/>
  <c r="AC292" i="5"/>
  <c r="AC160" i="5"/>
  <c r="AC265" i="5"/>
  <c r="AC443" i="5"/>
  <c r="AC125" i="5"/>
  <c r="AC485" i="5"/>
  <c r="AC45" i="5"/>
  <c r="AC475" i="5"/>
  <c r="AC362" i="5"/>
  <c r="AC286" i="5"/>
  <c r="AC141" i="5"/>
  <c r="AC90" i="5"/>
  <c r="AC445" i="5"/>
  <c r="AC448" i="5"/>
  <c r="AC38" i="5"/>
  <c r="AC213" i="5"/>
  <c r="AC377" i="5"/>
  <c r="AC430" i="5"/>
  <c r="AC260" i="5"/>
  <c r="AC225" i="5"/>
  <c r="AC419" i="5"/>
  <c r="AC81" i="5"/>
  <c r="AC358" i="5"/>
  <c r="AC49" i="5"/>
  <c r="AC326" i="5"/>
  <c r="AC410" i="5"/>
  <c r="AC97" i="5"/>
  <c r="AC281" i="5"/>
  <c r="AC85" i="5"/>
  <c r="AC524" i="5"/>
  <c r="AC297" i="5"/>
  <c r="AN100" i="4"/>
  <c r="AK100" i="4"/>
  <c r="AL100" i="4" s="1"/>
  <c r="AF100" i="4"/>
  <c r="AG100" i="4" s="1"/>
  <c r="AI100" i="4" s="1"/>
  <c r="AN104" i="4"/>
  <c r="AK104" i="4"/>
  <c r="AL104" i="4" s="1"/>
  <c r="AF104" i="4"/>
  <c r="AG104" i="4" s="1"/>
  <c r="AI104" i="4" s="1"/>
  <c r="AP120" i="4"/>
  <c r="AQ120" i="4"/>
  <c r="AC120" i="4"/>
  <c r="AD120" i="4" s="1"/>
  <c r="AR252" i="5"/>
  <c r="BI252" i="5"/>
  <c r="AQ252" i="5"/>
  <c r="AQ260" i="5"/>
  <c r="AR260" i="5"/>
  <c r="BI260" i="5"/>
  <c r="BK26" i="5"/>
  <c r="BJ26" i="5"/>
  <c r="BJ31" i="5"/>
  <c r="BK31" i="5"/>
  <c r="AR154" i="5"/>
  <c r="BI154" i="5"/>
  <c r="AQ154" i="5"/>
  <c r="BJ339" i="5"/>
  <c r="BK339" i="5"/>
  <c r="BJ307" i="5"/>
  <c r="BK307" i="5"/>
  <c r="BI529" i="5"/>
  <c r="AR529" i="5"/>
  <c r="AQ529" i="5"/>
  <c r="BK119" i="5"/>
  <c r="BJ119" i="5"/>
  <c r="BI68" i="5"/>
  <c r="AR68" i="5"/>
  <c r="AQ68" i="5"/>
  <c r="BJ337" i="5"/>
  <c r="BK337" i="5"/>
  <c r="BJ102" i="5"/>
  <c r="BK102" i="5"/>
  <c r="BJ10" i="5"/>
  <c r="BK10" i="5"/>
  <c r="BJ422" i="5"/>
  <c r="BK422" i="5"/>
  <c r="AP47" i="4"/>
  <c r="AQ47" i="4"/>
  <c r="AC47" i="4"/>
  <c r="AD47" i="4" s="1"/>
  <c r="AK138" i="4"/>
  <c r="AL138" i="4" s="1"/>
  <c r="AN138" i="4"/>
  <c r="AF138" i="4"/>
  <c r="AG138" i="4" s="1"/>
  <c r="AI138" i="4" s="1"/>
  <c r="AQ80" i="4"/>
  <c r="AP80" i="4"/>
  <c r="AC80" i="4"/>
  <c r="AD80" i="4" s="1"/>
  <c r="BK254" i="5"/>
  <c r="BJ254" i="5"/>
  <c r="BK57" i="5"/>
  <c r="BJ57" i="5"/>
  <c r="BK313" i="5"/>
  <c r="BJ313" i="5"/>
  <c r="BK185" i="5"/>
  <c r="BJ185" i="5"/>
  <c r="BK183" i="5"/>
  <c r="BJ183" i="5"/>
  <c r="BJ473" i="5"/>
  <c r="BK473" i="5"/>
  <c r="BK111" i="5"/>
  <c r="BJ111" i="5"/>
  <c r="BK273" i="5"/>
  <c r="BJ273" i="5"/>
  <c r="AQ99" i="4"/>
  <c r="AP99" i="4"/>
  <c r="AC99" i="4"/>
  <c r="AD99" i="4" s="1"/>
  <c r="AN91" i="4"/>
  <c r="AK91" i="4"/>
  <c r="AL91" i="4" s="1"/>
  <c r="AF91" i="4"/>
  <c r="AG91" i="4" s="1"/>
  <c r="AI91" i="4" s="1"/>
  <c r="AK46" i="4"/>
  <c r="AL46" i="4" s="1"/>
  <c r="AN46" i="4"/>
  <c r="AF46" i="4"/>
  <c r="AG46" i="4" s="1"/>
  <c r="AI46" i="4" s="1"/>
  <c r="AC9" i="5"/>
  <c r="AC455" i="5"/>
  <c r="AC344" i="5"/>
  <c r="AC96" i="5"/>
  <c r="AC382" i="5"/>
  <c r="AC311" i="5"/>
  <c r="AC534" i="5"/>
  <c r="AC459" i="5"/>
  <c r="AC363" i="5"/>
  <c r="AC58" i="5"/>
  <c r="AC330" i="5"/>
  <c r="AC50" i="5"/>
  <c r="AC313" i="5"/>
  <c r="AC423" i="5"/>
  <c r="AC135" i="5"/>
  <c r="AC142" i="5"/>
  <c r="AC224" i="5"/>
  <c r="AC111" i="5"/>
  <c r="AC439" i="5"/>
  <c r="AC261" i="5"/>
  <c r="AC24" i="5"/>
  <c r="AC71" i="5"/>
  <c r="AC312" i="5"/>
  <c r="AC206" i="5"/>
  <c r="AC257" i="5"/>
  <c r="AC273" i="5"/>
  <c r="AC147" i="5"/>
  <c r="AC140" i="5"/>
  <c r="AC131" i="5"/>
  <c r="AC540" i="5"/>
  <c r="AC400" i="5"/>
  <c r="AC103" i="5"/>
  <c r="AC375" i="5"/>
  <c r="AC357" i="5"/>
  <c r="AC502" i="5"/>
  <c r="AC361" i="5"/>
  <c r="AC390" i="5"/>
  <c r="AC553" i="5"/>
  <c r="AC102" i="5"/>
  <c r="AC52" i="5"/>
  <c r="AC338" i="5"/>
  <c r="AC221" i="5"/>
  <c r="AC467" i="5"/>
  <c r="AC26" i="5"/>
  <c r="AC226" i="5"/>
  <c r="AC446" i="5"/>
  <c r="AC158" i="5"/>
  <c r="AC436" i="5"/>
  <c r="AC550" i="5"/>
  <c r="AC165" i="5"/>
  <c r="AC202" i="5"/>
  <c r="AC368" i="5"/>
  <c r="AC80" i="5"/>
  <c r="AC278" i="5"/>
  <c r="AC464" i="5"/>
  <c r="AC478" i="5"/>
  <c r="AC463" i="5"/>
  <c r="AC376" i="5"/>
  <c r="AC387" i="5"/>
  <c r="AC183" i="5"/>
  <c r="AC108" i="5"/>
  <c r="AC422" i="5"/>
  <c r="AC184" i="5"/>
  <c r="AC197" i="5"/>
  <c r="AC84" i="5"/>
  <c r="AC294" i="5"/>
  <c r="AC498" i="5"/>
  <c r="AC385" i="5"/>
  <c r="AC380" i="5"/>
  <c r="AC499" i="5"/>
  <c r="AC298" i="5"/>
  <c r="AC409" i="5"/>
  <c r="AC113" i="5"/>
  <c r="AC148" i="5"/>
  <c r="AC107" i="5"/>
  <c r="AC391" i="5"/>
  <c r="AC489" i="5"/>
  <c r="AC43" i="5"/>
  <c r="AC360" i="5"/>
  <c r="AC101" i="5"/>
  <c r="AC30" i="5"/>
  <c r="AC337" i="5"/>
  <c r="AC40" i="5"/>
  <c r="AC172" i="5"/>
  <c r="AC379" i="5"/>
  <c r="AC408" i="5"/>
  <c r="AC116" i="5"/>
  <c r="AC518" i="5"/>
  <c r="AC276" i="5"/>
  <c r="AC175" i="5"/>
  <c r="AC528" i="5"/>
  <c r="AC384" i="5"/>
  <c r="AC451" i="5"/>
  <c r="AC441" i="5"/>
  <c r="AC56" i="5"/>
  <c r="AC91" i="5"/>
  <c r="AC438" i="5"/>
  <c r="AC416" i="5"/>
  <c r="AC109" i="5"/>
  <c r="AC364" i="5"/>
  <c r="AC13" i="5"/>
  <c r="AC319" i="5"/>
  <c r="AC300" i="5"/>
  <c r="AC69" i="5"/>
  <c r="AC442" i="5"/>
  <c r="AC462" i="5"/>
  <c r="AC42" i="5"/>
  <c r="AC64" i="5"/>
  <c r="AC123" i="5"/>
  <c r="AC537" i="5"/>
  <c r="AC521" i="5"/>
  <c r="AC447" i="5"/>
  <c r="AC350" i="5"/>
  <c r="AC369" i="5"/>
  <c r="AC115" i="5"/>
  <c r="AC27" i="5"/>
  <c r="AC149" i="5"/>
  <c r="AC373" i="5"/>
  <c r="AC504" i="5"/>
  <c r="AC180" i="5"/>
  <c r="AC34" i="5"/>
  <c r="AC119" i="5"/>
  <c r="AC242" i="5"/>
  <c r="AC299" i="5"/>
  <c r="AC466" i="5"/>
  <c r="AC272" i="5"/>
  <c r="AC514" i="5"/>
  <c r="AC559" i="5"/>
  <c r="AC62" i="5"/>
  <c r="AC560" i="5"/>
  <c r="AC77" i="5"/>
  <c r="AC37" i="5"/>
  <c r="AC405" i="5"/>
  <c r="AC468" i="5"/>
  <c r="AC256" i="5"/>
  <c r="AC348" i="5"/>
  <c r="AC46" i="5"/>
  <c r="AQ100" i="4"/>
  <c r="AP100" i="4"/>
  <c r="AC100" i="4"/>
  <c r="AD100" i="4" s="1"/>
  <c r="AN139" i="4"/>
  <c r="AK139" i="4"/>
  <c r="AL139" i="4" s="1"/>
  <c r="AF139" i="4"/>
  <c r="AG139" i="4" s="1"/>
  <c r="AI139" i="4" s="1"/>
  <c r="BJ245" i="5"/>
  <c r="BK245" i="5"/>
  <c r="BJ412" i="5"/>
  <c r="BK412" i="5"/>
  <c r="BJ278" i="5"/>
  <c r="BK278" i="5"/>
  <c r="BJ408" i="5"/>
  <c r="BK408" i="5"/>
  <c r="AQ394" i="5"/>
  <c r="AR394" i="5"/>
  <c r="BI394" i="5"/>
  <c r="BK134" i="5"/>
  <c r="BJ134" i="5"/>
  <c r="BK403" i="5"/>
  <c r="BJ403" i="5"/>
  <c r="BK87" i="5"/>
  <c r="BJ87" i="5"/>
  <c r="BJ469" i="5"/>
  <c r="BK469" i="5"/>
  <c r="BJ522" i="5"/>
  <c r="BK522" i="5"/>
  <c r="AQ444" i="5"/>
  <c r="AR444" i="5"/>
  <c r="BI444" i="5"/>
  <c r="BJ41" i="5"/>
  <c r="BK41" i="5"/>
  <c r="BJ235" i="5"/>
  <c r="BK235" i="5"/>
  <c r="BI159" i="5"/>
  <c r="AQ159" i="5"/>
  <c r="AR159" i="5"/>
  <c r="BK61" i="5"/>
  <c r="BJ61" i="5"/>
  <c r="BK195" i="5"/>
  <c r="BJ195" i="5"/>
  <c r="BK101" i="5"/>
  <c r="BJ101" i="5"/>
  <c r="BJ519" i="5"/>
  <c r="BK519" i="5"/>
  <c r="BK331" i="5"/>
  <c r="BJ331" i="5"/>
  <c r="BJ534" i="5"/>
  <c r="BK534" i="5"/>
  <c r="AN87" i="4"/>
  <c r="AK87" i="4"/>
  <c r="AL87" i="4" s="1"/>
  <c r="AF87" i="4"/>
  <c r="AG87" i="4" s="1"/>
  <c r="AI87" i="4" s="1"/>
  <c r="AN47" i="4"/>
  <c r="AK47" i="4"/>
  <c r="AL47" i="4" s="1"/>
  <c r="AF47" i="4"/>
  <c r="AG47" i="4" s="1"/>
  <c r="AI47" i="4" s="1"/>
  <c r="AK35" i="4"/>
  <c r="AL35" i="4" s="1"/>
  <c r="AN35" i="4"/>
  <c r="AF35" i="4"/>
  <c r="AG35" i="4" s="1"/>
  <c r="AI35" i="4" s="1"/>
  <c r="AK10" i="4"/>
  <c r="AL10" i="4" s="1"/>
  <c r="AN10" i="4"/>
  <c r="AF10" i="4"/>
  <c r="AG10" i="4" s="1"/>
  <c r="AI10" i="4" s="1"/>
  <c r="AK80" i="4"/>
  <c r="AL80" i="4" s="1"/>
  <c r="AN80" i="4"/>
  <c r="AF80" i="4"/>
  <c r="AG80" i="4" s="1"/>
  <c r="AI80" i="4" s="1"/>
  <c r="AF16" i="4"/>
  <c r="AG16" i="4" s="1"/>
  <c r="AI16" i="4" s="1"/>
  <c r="AN16" i="4"/>
  <c r="AK16" i="4"/>
  <c r="AL16" i="4" s="1"/>
  <c r="BJ538" i="5"/>
  <c r="BK538" i="5"/>
  <c r="BJ546" i="5"/>
  <c r="BK546" i="5"/>
  <c r="BJ489" i="5"/>
  <c r="BK489" i="5"/>
  <c r="BJ80" i="5" l="1"/>
  <c r="BK178" i="5"/>
  <c r="BJ270" i="5"/>
  <c r="BJ535" i="5"/>
  <c r="BK338" i="5"/>
  <c r="BK282" i="5"/>
  <c r="BK193" i="5"/>
  <c r="BK397" i="5"/>
  <c r="BK418" i="5"/>
  <c r="BJ274" i="5"/>
  <c r="BK368" i="5"/>
  <c r="BK202" i="5"/>
  <c r="BK228" i="5"/>
  <c r="BK117" i="5"/>
  <c r="BK375" i="5"/>
  <c r="BK250" i="5"/>
  <c r="BK344" i="5"/>
  <c r="BK243" i="5"/>
  <c r="BK227" i="5"/>
  <c r="BK545" i="5"/>
  <c r="BJ244" i="5"/>
  <c r="BJ391" i="5"/>
  <c r="BK326" i="5"/>
  <c r="BJ279" i="5"/>
  <c r="BJ560" i="5"/>
  <c r="BK241" i="5"/>
  <c r="BK64" i="5"/>
  <c r="BJ272" i="5"/>
  <c r="BK324" i="5"/>
  <c r="BK285" i="5"/>
  <c r="BK340" i="5"/>
  <c r="BK52" i="5"/>
  <c r="BK32" i="5"/>
  <c r="BK365" i="5"/>
  <c r="BK526" i="5"/>
  <c r="BK528" i="5"/>
  <c r="BJ230" i="5"/>
  <c r="BK132" i="5"/>
  <c r="BK514" i="5"/>
  <c r="BK164" i="5"/>
  <c r="BJ181" i="5"/>
  <c r="BK363" i="5"/>
  <c r="BJ171" i="5"/>
  <c r="BJ200" i="5"/>
  <c r="BJ173" i="5"/>
  <c r="AC10" i="4"/>
  <c r="AD10" i="4" s="1"/>
  <c r="BK466" i="5"/>
  <c r="BJ133" i="5"/>
  <c r="BJ432" i="5"/>
  <c r="BJ237" i="5"/>
  <c r="BJ40" i="5"/>
  <c r="BJ292" i="5"/>
  <c r="AN58" i="4"/>
  <c r="AK58" i="4"/>
  <c r="AL58" i="4" s="1"/>
  <c r="BK536" i="5"/>
  <c r="BK105" i="5"/>
  <c r="AC145" i="4"/>
  <c r="AD145" i="4" s="1"/>
  <c r="BJ476" i="5"/>
  <c r="BJ246" i="5"/>
  <c r="BJ358" i="5"/>
  <c r="BJ287" i="5"/>
  <c r="BK192" i="5"/>
  <c r="BK253" i="5"/>
  <c r="BJ20" i="5"/>
  <c r="BK515" i="5"/>
  <c r="AN127" i="4"/>
  <c r="AO127" i="4" s="1"/>
  <c r="BK96" i="5"/>
  <c r="BK387" i="5"/>
  <c r="AF86" i="4"/>
  <c r="AG86" i="4" s="1"/>
  <c r="AI86" i="4" s="1"/>
  <c r="AK86" i="4"/>
  <c r="AL86" i="4" s="1"/>
  <c r="AO86" i="4" s="1"/>
  <c r="BJ501" i="5"/>
  <c r="BK39" i="5"/>
  <c r="AF127" i="4"/>
  <c r="AG127" i="4" s="1"/>
  <c r="AI127" i="4" s="1"/>
  <c r="BK512" i="5"/>
  <c r="BK8" i="5"/>
  <c r="BK349" i="5"/>
  <c r="BJ158" i="5"/>
  <c r="BJ70" i="5"/>
  <c r="BJ281" i="5"/>
  <c r="BJ266" i="5"/>
  <c r="AN130" i="4"/>
  <c r="AK130" i="4"/>
  <c r="AL130" i="4" s="1"/>
  <c r="BK410" i="5"/>
  <c r="AN131" i="4"/>
  <c r="AO131" i="4" s="1"/>
  <c r="BJ463" i="5"/>
  <c r="AQ86" i="4"/>
  <c r="BJ477" i="5"/>
  <c r="AQ145" i="4"/>
  <c r="BJ71" i="5"/>
  <c r="BJ137" i="5"/>
  <c r="AC130" i="4"/>
  <c r="AD130" i="4" s="1"/>
  <c r="AQ130" i="4"/>
  <c r="BK143" i="5"/>
  <c r="BJ421" i="5"/>
  <c r="BJ214" i="5"/>
  <c r="AF123" i="4"/>
  <c r="AG123" i="4" s="1"/>
  <c r="AI123" i="4" s="1"/>
  <c r="BJ298" i="5"/>
  <c r="BK478" i="5"/>
  <c r="AN123" i="4"/>
  <c r="AO123" i="4" s="1"/>
  <c r="AC86" i="4"/>
  <c r="AD86" i="4" s="1"/>
  <c r="BJ115" i="5"/>
  <c r="AC126" i="4"/>
  <c r="AD126" i="4" s="1"/>
  <c r="BK389" i="5"/>
  <c r="BJ177" i="5"/>
  <c r="BJ439" i="5"/>
  <c r="BJ471" i="5"/>
  <c r="BK74" i="5"/>
  <c r="BK277" i="5"/>
  <c r="BK521" i="5"/>
  <c r="BK367" i="5"/>
  <c r="BJ516" i="5"/>
  <c r="BK355" i="5"/>
  <c r="BK442" i="5"/>
  <c r="BJ43" i="5"/>
  <c r="BK146" i="5"/>
  <c r="BJ468" i="5"/>
  <c r="BK224" i="5"/>
  <c r="BJ510" i="5"/>
  <c r="BJ194" i="5"/>
  <c r="BK21" i="5"/>
  <c r="BJ231" i="5"/>
  <c r="BJ428" i="5"/>
  <c r="BK544" i="5"/>
  <c r="BJ475" i="5"/>
  <c r="BJ82" i="5"/>
  <c r="BJ321" i="5"/>
  <c r="AF58" i="4"/>
  <c r="AG58" i="4" s="1"/>
  <c r="AI58" i="4" s="1"/>
  <c r="BJ414" i="5"/>
  <c r="BK532" i="5"/>
  <c r="BK361" i="5"/>
  <c r="BK86" i="5"/>
  <c r="BJ346" i="5"/>
  <c r="BJ434" i="5"/>
  <c r="AN145" i="4"/>
  <c r="BJ24" i="5"/>
  <c r="BJ229" i="5"/>
  <c r="AK145" i="4"/>
  <c r="AL145" i="4" s="1"/>
  <c r="BK551" i="5"/>
  <c r="BJ484" i="5"/>
  <c r="BK167" i="5"/>
  <c r="BJ480" i="5"/>
  <c r="AQ127" i="4"/>
  <c r="BK213" i="5"/>
  <c r="AN75" i="4"/>
  <c r="AP127" i="4"/>
  <c r="BJ141" i="5"/>
  <c r="AQ29" i="4"/>
  <c r="BK232" i="5"/>
  <c r="AN92" i="4"/>
  <c r="AO92" i="4" s="1"/>
  <c r="BJ261" i="5"/>
  <c r="AF92" i="4"/>
  <c r="AG92" i="4" s="1"/>
  <c r="AI92" i="4" s="1"/>
  <c r="BK108" i="5"/>
  <c r="BJ162" i="5"/>
  <c r="BK449" i="5"/>
  <c r="BK106" i="5"/>
  <c r="BK486" i="5"/>
  <c r="BK303" i="5"/>
  <c r="AP125" i="4"/>
  <c r="BJ85" i="5"/>
  <c r="AF78" i="4"/>
  <c r="AG78" i="4" s="1"/>
  <c r="AI78" i="4" s="1"/>
  <c r="AQ125" i="4"/>
  <c r="AN78" i="4"/>
  <c r="AO78" i="4" s="1"/>
  <c r="BJ507" i="5"/>
  <c r="BJ42" i="5"/>
  <c r="BK336" i="5"/>
  <c r="BJ258" i="5"/>
  <c r="BJ458" i="5"/>
  <c r="AF131" i="4"/>
  <c r="AG131" i="4" s="1"/>
  <c r="AI131" i="4" s="1"/>
  <c r="BK542" i="5"/>
  <c r="AQ126" i="4"/>
  <c r="BK78" i="5"/>
  <c r="BJ125" i="5"/>
  <c r="BJ256" i="5"/>
  <c r="BK330" i="5"/>
  <c r="AQ85" i="4"/>
  <c r="AN76" i="4"/>
  <c r="AK42" i="4"/>
  <c r="AL42" i="4" s="1"/>
  <c r="AO42" i="4" s="1"/>
  <c r="AP39" i="4"/>
  <c r="AC53" i="4"/>
  <c r="AD53" i="4" s="1"/>
  <c r="AC39" i="4"/>
  <c r="AD39" i="4" s="1"/>
  <c r="AQ53" i="4"/>
  <c r="BJ92" i="5"/>
  <c r="BK63" i="5"/>
  <c r="BJ557" i="5"/>
  <c r="BK371" i="5"/>
  <c r="BJ259" i="5"/>
  <c r="BK400" i="5"/>
  <c r="BK525" i="5"/>
  <c r="BK95" i="5"/>
  <c r="BK291" i="5"/>
  <c r="BJ268" i="5"/>
  <c r="BJ317" i="5"/>
  <c r="BJ76" i="5"/>
  <c r="BK374" i="5"/>
  <c r="BK150" i="5"/>
  <c r="BJ481" i="5"/>
  <c r="BJ380" i="5"/>
  <c r="BJ376" i="5"/>
  <c r="BK312" i="5"/>
  <c r="BK201" i="5"/>
  <c r="BJ311" i="5"/>
  <c r="BJ362" i="5"/>
  <c r="BJ34" i="5"/>
  <c r="BK433" i="5"/>
  <c r="BJ342" i="5"/>
  <c r="BK59" i="5"/>
  <c r="BJ402" i="5"/>
  <c r="AQ131" i="4"/>
  <c r="BJ212" i="5"/>
  <c r="BK88" i="5"/>
  <c r="BJ487" i="5"/>
  <c r="AQ123" i="4"/>
  <c r="AN126" i="4"/>
  <c r="AO126" i="4" s="1"/>
  <c r="BK12" i="5"/>
  <c r="AC123" i="4"/>
  <c r="AD123" i="4" s="1"/>
  <c r="BJ537" i="5"/>
  <c r="BJ327" i="5"/>
  <c r="BJ299" i="5"/>
  <c r="BJ190" i="5"/>
  <c r="BK437" i="5"/>
  <c r="BJ56" i="5"/>
  <c r="BJ197" i="5"/>
  <c r="BK226" i="5"/>
  <c r="BJ404" i="5"/>
  <c r="BK350" i="5"/>
  <c r="BJ555" i="5"/>
  <c r="BJ233" i="5"/>
  <c r="BK427" i="5"/>
  <c r="BK296" i="5"/>
  <c r="BK502" i="5"/>
  <c r="BK136" i="5"/>
  <c r="BJ75" i="5"/>
  <c r="BK191" i="5"/>
  <c r="BJ168" i="5"/>
  <c r="AP37" i="4"/>
  <c r="BJ448" i="5"/>
  <c r="AC51" i="4"/>
  <c r="AD51" i="4" s="1"/>
  <c r="AP51" i="4"/>
  <c r="BK329" i="5"/>
  <c r="BK35" i="5"/>
  <c r="BK508" i="5"/>
  <c r="BK203" i="5"/>
  <c r="BJ65" i="5"/>
  <c r="BK498" i="5"/>
  <c r="BK455" i="5"/>
  <c r="BK126" i="5"/>
  <c r="BJ318" i="5"/>
  <c r="BK109" i="5"/>
  <c r="BK28" i="5"/>
  <c r="BK205" i="5"/>
  <c r="BK443" i="5"/>
  <c r="BJ166" i="5"/>
  <c r="BJ163" i="5"/>
  <c r="BJ533" i="5"/>
  <c r="BK441" i="5"/>
  <c r="BJ495" i="5"/>
  <c r="BJ60" i="5"/>
  <c r="BK302" i="5"/>
  <c r="BK37" i="5"/>
  <c r="BK238" i="5"/>
  <c r="BJ382" i="5"/>
  <c r="BK276" i="5"/>
  <c r="BK552" i="5"/>
  <c r="BK511" i="5"/>
  <c r="BK25" i="5"/>
  <c r="BK180" i="5"/>
  <c r="BJ79" i="5"/>
  <c r="BJ360" i="5"/>
  <c r="BK366" i="5"/>
  <c r="BK460" i="5"/>
  <c r="BK357" i="5"/>
  <c r="BJ354" i="5"/>
  <c r="BK398" i="5"/>
  <c r="BJ83" i="5"/>
  <c r="BK322" i="5"/>
  <c r="BJ295" i="5"/>
  <c r="BK464" i="5"/>
  <c r="AF109" i="4"/>
  <c r="AG109" i="4" s="1"/>
  <c r="AI109" i="4" s="1"/>
  <c r="BK457" i="5"/>
  <c r="AF148" i="4"/>
  <c r="AG148" i="4" s="1"/>
  <c r="AI148" i="4" s="1"/>
  <c r="BJ290" i="5"/>
  <c r="BK405" i="5"/>
  <c r="BK492" i="5"/>
  <c r="AQ35" i="4"/>
  <c r="AC131" i="4"/>
  <c r="AD131" i="4" s="1"/>
  <c r="AC49" i="4"/>
  <c r="AD49" i="4" s="1"/>
  <c r="AK75" i="4"/>
  <c r="AL75" i="4" s="1"/>
  <c r="AF151" i="4"/>
  <c r="AG151" i="4" s="1"/>
  <c r="AI151" i="4" s="1"/>
  <c r="AK151" i="4"/>
  <c r="AL151" i="4" s="1"/>
  <c r="AO151" i="4" s="1"/>
  <c r="BK493" i="5"/>
  <c r="BJ496" i="5"/>
  <c r="BJ53" i="5"/>
  <c r="BK152" i="5"/>
  <c r="BJ99" i="5"/>
  <c r="AC76" i="4"/>
  <c r="AD76" i="4" s="1"/>
  <c r="BK531" i="5"/>
  <c r="AP76" i="4"/>
  <c r="BJ157" i="5"/>
  <c r="BJ129" i="5"/>
  <c r="BK390" i="5"/>
  <c r="BJ67" i="5"/>
  <c r="AK155" i="4"/>
  <c r="AL155" i="4" s="1"/>
  <c r="AO155" i="4" s="1"/>
  <c r="BJ153" i="5"/>
  <c r="BK335" i="5"/>
  <c r="AF155" i="4"/>
  <c r="AG155" i="4" s="1"/>
  <c r="AI155" i="4" s="1"/>
  <c r="BJ210" i="5"/>
  <c r="BK188" i="5"/>
  <c r="BK269" i="5"/>
  <c r="BJ264" i="5"/>
  <c r="BK110" i="5"/>
  <c r="BK348" i="5"/>
  <c r="AF156" i="4"/>
  <c r="AG156" i="4" s="1"/>
  <c r="AI156" i="4" s="1"/>
  <c r="AN156" i="4"/>
  <c r="AO156" i="4" s="1"/>
  <c r="AP46" i="4"/>
  <c r="BK424" i="5"/>
  <c r="BJ447" i="5"/>
  <c r="BJ58" i="5"/>
  <c r="BK393" i="5"/>
  <c r="BJ450" i="5"/>
  <c r="AK148" i="4"/>
  <c r="AL148" i="4" s="1"/>
  <c r="AO148" i="4" s="1"/>
  <c r="BJ301" i="5"/>
  <c r="AN109" i="4"/>
  <c r="AO109" i="4" s="1"/>
  <c r="BJ100" i="5"/>
  <c r="BJ540" i="5"/>
  <c r="AC30" i="4"/>
  <c r="AD30" i="4" s="1"/>
  <c r="AC56" i="4"/>
  <c r="AD56" i="4" s="1"/>
  <c r="BK91" i="5"/>
  <c r="BK543" i="5"/>
  <c r="AQ30" i="4"/>
  <c r="AP56" i="4"/>
  <c r="BK506" i="5"/>
  <c r="BK347" i="5"/>
  <c r="BK328" i="5"/>
  <c r="BJ310" i="5"/>
  <c r="BK51" i="5"/>
  <c r="BJ378" i="5"/>
  <c r="BK263" i="5"/>
  <c r="BK69" i="5"/>
  <c r="BK315" i="5"/>
  <c r="BK554" i="5"/>
  <c r="BK548" i="5"/>
  <c r="BJ332" i="5"/>
  <c r="AC36" i="4"/>
  <c r="AD36" i="4" s="1"/>
  <c r="BK294" i="5"/>
  <c r="BK353" i="5"/>
  <c r="BK89" i="5"/>
  <c r="BK62" i="5"/>
  <c r="BJ249" i="5"/>
  <c r="BJ142" i="5"/>
  <c r="AN108" i="4"/>
  <c r="AO108" i="4" s="1"/>
  <c r="BJ50" i="5"/>
  <c r="BK488" i="5"/>
  <c r="AN154" i="4"/>
  <c r="AO154" i="4" s="1"/>
  <c r="AF108" i="4"/>
  <c r="AG108" i="4" s="1"/>
  <c r="AI108" i="4" s="1"/>
  <c r="BK198" i="5"/>
  <c r="AC97" i="4"/>
  <c r="AD97" i="4" s="1"/>
  <c r="AQ97" i="4"/>
  <c r="BJ308" i="5"/>
  <c r="BK247" i="5"/>
  <c r="AF154" i="4"/>
  <c r="AG154" i="4" s="1"/>
  <c r="AI154" i="4" s="1"/>
  <c r="BJ93" i="5"/>
  <c r="BK527" i="5"/>
  <c r="BJ44" i="5"/>
  <c r="BJ413" i="5"/>
  <c r="AP124" i="4"/>
  <c r="AF126" i="4"/>
  <c r="AG126" i="4" s="1"/>
  <c r="AI126" i="4" s="1"/>
  <c r="BJ300" i="5"/>
  <c r="BK505" i="5"/>
  <c r="AC52" i="4"/>
  <c r="AD52" i="4" s="1"/>
  <c r="BJ251" i="5"/>
  <c r="BK341" i="5"/>
  <c r="AC58" i="4"/>
  <c r="AD58" i="4" s="1"/>
  <c r="AP58" i="4"/>
  <c r="BK265" i="5"/>
  <c r="AC35" i="4"/>
  <c r="AD35" i="4" s="1"/>
  <c r="AQ154" i="4"/>
  <c r="AK32" i="4"/>
  <c r="AL32" i="4" s="1"/>
  <c r="AO32" i="4" s="1"/>
  <c r="AP154" i="4"/>
  <c r="AF73" i="4"/>
  <c r="AG73" i="4" s="1"/>
  <c r="AI73" i="4" s="1"/>
  <c r="BJ155" i="5"/>
  <c r="AN73" i="4"/>
  <c r="AO73" i="4" s="1"/>
  <c r="B189" i="2"/>
  <c r="B224" i="2" s="1"/>
  <c r="F69" i="1" s="1"/>
  <c r="BJ426" i="5"/>
  <c r="BK503" i="5"/>
  <c r="BK396" i="5"/>
  <c r="AK64" i="4"/>
  <c r="AL64" i="4" s="1"/>
  <c r="AO64" i="4" s="1"/>
  <c r="BJ556" i="5"/>
  <c r="AC73" i="4"/>
  <c r="AD73" i="4" s="1"/>
  <c r="BK454" i="5"/>
  <c r="AP73" i="4"/>
  <c r="AC43" i="4"/>
  <c r="AD43" i="4" s="1"/>
  <c r="BK388" i="5"/>
  <c r="BK104" i="5"/>
  <c r="AQ43" i="4"/>
  <c r="BK459" i="5"/>
  <c r="BJ218" i="5"/>
  <c r="BJ293" i="5"/>
  <c r="AF56" i="4"/>
  <c r="AG56" i="4" s="1"/>
  <c r="AI56" i="4" s="1"/>
  <c r="AN56" i="4"/>
  <c r="AO56" i="4" s="1"/>
  <c r="AJ56" i="4"/>
  <c r="BK7" i="5"/>
  <c r="AF142" i="4"/>
  <c r="AG142" i="4" s="1"/>
  <c r="AI142" i="4" s="1"/>
  <c r="BK523" i="5"/>
  <c r="AK142" i="4"/>
  <c r="AL142" i="4" s="1"/>
  <c r="AO142" i="4" s="1"/>
  <c r="BJ325" i="5"/>
  <c r="BK144" i="5"/>
  <c r="BJ297" i="5"/>
  <c r="AK36" i="4"/>
  <c r="AL36" i="4" s="1"/>
  <c r="AO36" i="4" s="1"/>
  <c r="BJ255" i="5"/>
  <c r="BK248" i="5"/>
  <c r="BK351" i="5"/>
  <c r="AQ52" i="4"/>
  <c r="AQ27" i="4"/>
  <c r="AK49" i="4"/>
  <c r="AL49" i="4" s="1"/>
  <c r="AO49" i="4" s="1"/>
  <c r="AC27" i="4"/>
  <c r="AD27" i="4" s="1"/>
  <c r="AP114" i="4"/>
  <c r="AQ114" i="4"/>
  <c r="AC124" i="4"/>
  <c r="AD124" i="4" s="1"/>
  <c r="AC28" i="4"/>
  <c r="AD28" i="4" s="1"/>
  <c r="AP28" i="4"/>
  <c r="AC41" i="4"/>
  <c r="AD41" i="4" s="1"/>
  <c r="AP78" i="4"/>
  <c r="AC33" i="4"/>
  <c r="AD33" i="4" s="1"/>
  <c r="AP41" i="4"/>
  <c r="AQ33" i="4"/>
  <c r="AK26" i="4"/>
  <c r="AL26" i="4" s="1"/>
  <c r="AO26" i="4" s="1"/>
  <c r="AC48" i="4"/>
  <c r="AD48" i="4" s="1"/>
  <c r="AP36" i="4"/>
  <c r="AQ48" i="4"/>
  <c r="AC31" i="4"/>
  <c r="AD31" i="4" s="1"/>
  <c r="AP31" i="4"/>
  <c r="BK187" i="5"/>
  <c r="AQ49" i="4"/>
  <c r="AC46" i="4"/>
  <c r="AD46" i="4" s="1"/>
  <c r="AQ19" i="4"/>
  <c r="BJ280" i="5"/>
  <c r="AC19" i="4"/>
  <c r="AD19" i="4" s="1"/>
  <c r="BK474" i="5"/>
  <c r="AC152" i="4"/>
  <c r="AD152" i="4" s="1"/>
  <c r="AC44" i="4"/>
  <c r="AD44" i="4" s="1"/>
  <c r="AQ152" i="4"/>
  <c r="AP44" i="4"/>
  <c r="AP29" i="4"/>
  <c r="BJ97" i="5"/>
  <c r="AF105" i="4"/>
  <c r="AG105" i="4" s="1"/>
  <c r="AI105" i="4" s="1"/>
  <c r="AK50" i="4"/>
  <c r="AL50" i="4" s="1"/>
  <c r="AO50" i="4" s="1"/>
  <c r="BK120" i="5"/>
  <c r="BJ130" i="5"/>
  <c r="BJ359" i="5"/>
  <c r="BK179" i="5"/>
  <c r="AK45" i="4"/>
  <c r="AL45" i="4" s="1"/>
  <c r="AO45" i="4" s="1"/>
  <c r="BK314" i="5"/>
  <c r="AF59" i="4"/>
  <c r="AG59" i="4" s="1"/>
  <c r="AI59" i="4" s="1"/>
  <c r="X59" i="4"/>
  <c r="AK59" i="4" s="1"/>
  <c r="AL59" i="4" s="1"/>
  <c r="AC110" i="4"/>
  <c r="AD110" i="4" s="1"/>
  <c r="AP110" i="4"/>
  <c r="AN62" i="4"/>
  <c r="X62" i="4"/>
  <c r="AJ62" i="4" s="1"/>
  <c r="AN61" i="4"/>
  <c r="X61" i="4"/>
  <c r="AN54" i="4"/>
  <c r="X54" i="4"/>
  <c r="AA42" i="4"/>
  <c r="AN117" i="4"/>
  <c r="AO117" i="4" s="1"/>
  <c r="AN65" i="4"/>
  <c r="X65" i="4"/>
  <c r="AJ65" i="4" s="1"/>
  <c r="AN55" i="4"/>
  <c r="X55" i="4"/>
  <c r="AJ55" i="4" s="1"/>
  <c r="AA62" i="4"/>
  <c r="AP62" i="4" s="1"/>
  <c r="AA40" i="4"/>
  <c r="AA64" i="4"/>
  <c r="BK225" i="5"/>
  <c r="X63" i="4"/>
  <c r="AQ101" i="4"/>
  <c r="AQ37" i="4"/>
  <c r="AN60" i="4"/>
  <c r="X60" i="4"/>
  <c r="AN57" i="4"/>
  <c r="X57" i="4"/>
  <c r="AK57" i="4" s="1"/>
  <c r="AL57" i="4" s="1"/>
  <c r="AA45" i="4"/>
  <c r="AK40" i="4"/>
  <c r="AL40" i="4" s="1"/>
  <c r="AO40" i="4" s="1"/>
  <c r="AA50" i="4"/>
  <c r="AN114" i="4"/>
  <c r="AO114" i="4" s="1"/>
  <c r="AC34" i="4"/>
  <c r="AD34" i="4" s="1"/>
  <c r="BJ423" i="5"/>
  <c r="AP34" i="4"/>
  <c r="AC78" i="4"/>
  <c r="AD78" i="4" s="1"/>
  <c r="AA32" i="4"/>
  <c r="AF140" i="4"/>
  <c r="AG140" i="4" s="1"/>
  <c r="AI140" i="4" s="1"/>
  <c r="AN140" i="4"/>
  <c r="AO140" i="4" s="1"/>
  <c r="AC21" i="4"/>
  <c r="AD21" i="4" s="1"/>
  <c r="AQ108" i="4"/>
  <c r="AP21" i="4"/>
  <c r="BK116" i="5"/>
  <c r="AF55" i="4"/>
  <c r="AG55" i="4" s="1"/>
  <c r="AI55" i="4" s="1"/>
  <c r="AF85" i="4"/>
  <c r="AG85" i="4" s="1"/>
  <c r="AI85" i="4" s="1"/>
  <c r="AC75" i="4"/>
  <c r="AD75" i="4" s="1"/>
  <c r="AQ75" i="4"/>
  <c r="AA26" i="4"/>
  <c r="AF114" i="4"/>
  <c r="AG114" i="4" s="1"/>
  <c r="AI114" i="4" s="1"/>
  <c r="BK539" i="5"/>
  <c r="BK90" i="5"/>
  <c r="BJ377" i="5"/>
  <c r="AC85" i="4"/>
  <c r="AD85" i="4" s="1"/>
  <c r="AQ128" i="4"/>
  <c r="BK461" i="5"/>
  <c r="AN69" i="4"/>
  <c r="AO69" i="4" s="1"/>
  <c r="AC101" i="4"/>
  <c r="AD101" i="4" s="1"/>
  <c r="AN105" i="4"/>
  <c r="AO105" i="4" s="1"/>
  <c r="BJ288" i="5"/>
  <c r="AP151" i="4"/>
  <c r="BK72" i="5"/>
  <c r="AF54" i="4"/>
  <c r="AG54" i="4" s="1"/>
  <c r="AI54" i="4" s="1"/>
  <c r="AQ140" i="4"/>
  <c r="AP82" i="4"/>
  <c r="AC142" i="4"/>
  <c r="AD142" i="4" s="1"/>
  <c r="AQ142" i="4"/>
  <c r="AP128" i="4"/>
  <c r="AP8" i="4"/>
  <c r="AC151" i="4"/>
  <c r="AD151" i="4" s="1"/>
  <c r="AK90" i="4"/>
  <c r="AL90" i="4" s="1"/>
  <c r="AP113" i="4"/>
  <c r="AQ77" i="4"/>
  <c r="AF106" i="4"/>
  <c r="AG106" i="4" s="1"/>
  <c r="AI106" i="4" s="1"/>
  <c r="AK85" i="4"/>
  <c r="AL85" i="4" s="1"/>
  <c r="AO85" i="4" s="1"/>
  <c r="AK106" i="4"/>
  <c r="AL106" i="4" s="1"/>
  <c r="AO106" i="4" s="1"/>
  <c r="AC155" i="4"/>
  <c r="AD155" i="4" s="1"/>
  <c r="AQ155" i="4"/>
  <c r="AF134" i="4"/>
  <c r="AG134" i="4" s="1"/>
  <c r="AI134" i="4" s="1"/>
  <c r="AN118" i="4"/>
  <c r="AO118" i="4" s="1"/>
  <c r="AN134" i="4"/>
  <c r="AO134" i="4" s="1"/>
  <c r="AP105" i="4"/>
  <c r="AC89" i="4"/>
  <c r="AD89" i="4" s="1"/>
  <c r="AN90" i="4"/>
  <c r="AC105" i="4"/>
  <c r="AD105" i="4" s="1"/>
  <c r="AC13" i="4"/>
  <c r="AD13" i="4" s="1"/>
  <c r="AP77" i="4"/>
  <c r="AP11" i="4"/>
  <c r="AP89" i="4"/>
  <c r="AC81" i="4"/>
  <c r="AD81" i="4" s="1"/>
  <c r="AC117" i="4"/>
  <c r="AD117" i="4" s="1"/>
  <c r="AF118" i="4"/>
  <c r="AG118" i="4" s="1"/>
  <c r="AI118" i="4" s="1"/>
  <c r="AC95" i="4"/>
  <c r="AD95" i="4" s="1"/>
  <c r="AQ81" i="4"/>
  <c r="AP117" i="4"/>
  <c r="AP95" i="4"/>
  <c r="AC11" i="4"/>
  <c r="AD11" i="4" s="1"/>
  <c r="AC134" i="4"/>
  <c r="AD134" i="4" s="1"/>
  <c r="AQ134" i="4"/>
  <c r="AC148" i="4"/>
  <c r="AD148" i="4" s="1"/>
  <c r="AQ148" i="4"/>
  <c r="AF63" i="4"/>
  <c r="AG63" i="4" s="1"/>
  <c r="AI63" i="4" s="1"/>
  <c r="AN116" i="4"/>
  <c r="AO116" i="4" s="1"/>
  <c r="AF117" i="4"/>
  <c r="AG117" i="4" s="1"/>
  <c r="AI117" i="4" s="1"/>
  <c r="AP129" i="4"/>
  <c r="AQ129" i="4"/>
  <c r="AF57" i="4"/>
  <c r="AG57" i="4" s="1"/>
  <c r="AI57" i="4" s="1"/>
  <c r="AC149" i="4"/>
  <c r="AD149" i="4" s="1"/>
  <c r="AP149" i="4"/>
  <c r="AC82" i="4"/>
  <c r="AD82" i="4" s="1"/>
  <c r="AP90" i="4"/>
  <c r="AK141" i="4"/>
  <c r="AL141" i="4" s="1"/>
  <c r="AO141" i="4" s="1"/>
  <c r="AP140" i="4"/>
  <c r="AP106" i="4"/>
  <c r="AF149" i="4"/>
  <c r="AG149" i="4" s="1"/>
  <c r="AI149" i="4" s="1"/>
  <c r="AQ13" i="4"/>
  <c r="AK129" i="4"/>
  <c r="AL129" i="4" s="1"/>
  <c r="AO129" i="4" s="1"/>
  <c r="AF133" i="4"/>
  <c r="AG133" i="4" s="1"/>
  <c r="AI133" i="4" s="1"/>
  <c r="AK76" i="4"/>
  <c r="AL76" i="4" s="1"/>
  <c r="AQ106" i="4"/>
  <c r="AN149" i="4"/>
  <c r="AO149" i="4" s="1"/>
  <c r="AF129" i="4"/>
  <c r="AG129" i="4" s="1"/>
  <c r="AI129" i="4" s="1"/>
  <c r="AP66" i="4"/>
  <c r="AQ74" i="4"/>
  <c r="AK133" i="4"/>
  <c r="AL133" i="4" s="1"/>
  <c r="AO133" i="4" s="1"/>
  <c r="AC122" i="4"/>
  <c r="AD122" i="4" s="1"/>
  <c r="AP122" i="4"/>
  <c r="AC141" i="4"/>
  <c r="AD141" i="4" s="1"/>
  <c r="AQ10" i="4"/>
  <c r="AQ90" i="4"/>
  <c r="AF141" i="4"/>
  <c r="AG141" i="4" s="1"/>
  <c r="AI141" i="4" s="1"/>
  <c r="AP141" i="4"/>
  <c r="AK136" i="4"/>
  <c r="AL136" i="4" s="1"/>
  <c r="AO136" i="4" s="1"/>
  <c r="AC79" i="4"/>
  <c r="AD79" i="4" s="1"/>
  <c r="AF69" i="4"/>
  <c r="AG69" i="4" s="1"/>
  <c r="AI69" i="4" s="1"/>
  <c r="AF61" i="4"/>
  <c r="AG61" i="4" s="1"/>
  <c r="AI61" i="4" s="1"/>
  <c r="AK110" i="4"/>
  <c r="AL110" i="4" s="1"/>
  <c r="AO110" i="4" s="1"/>
  <c r="AN112" i="4"/>
  <c r="AO112" i="4" s="1"/>
  <c r="AF135" i="4"/>
  <c r="AG135" i="4" s="1"/>
  <c r="AI135" i="4" s="1"/>
  <c r="AP108" i="4"/>
  <c r="AF113" i="4"/>
  <c r="AG113" i="4" s="1"/>
  <c r="AI113" i="4" s="1"/>
  <c r="AC69" i="4"/>
  <c r="AD69" i="4" s="1"/>
  <c r="AK135" i="4"/>
  <c r="AL135" i="4" s="1"/>
  <c r="AO135" i="4" s="1"/>
  <c r="AN113" i="4"/>
  <c r="AO113" i="4" s="1"/>
  <c r="AC98" i="4"/>
  <c r="AD98" i="4" s="1"/>
  <c r="AF122" i="4"/>
  <c r="AG122" i="4" s="1"/>
  <c r="AI122" i="4" s="1"/>
  <c r="AP69" i="4"/>
  <c r="AQ98" i="4"/>
  <c r="AQ133" i="4"/>
  <c r="AK122" i="4"/>
  <c r="AL122" i="4" s="1"/>
  <c r="AO122" i="4" s="1"/>
  <c r="AC94" i="4"/>
  <c r="AD94" i="4" s="1"/>
  <c r="AP144" i="4"/>
  <c r="AF74" i="4"/>
  <c r="AG74" i="4" s="1"/>
  <c r="AI74" i="4" s="1"/>
  <c r="AP94" i="4"/>
  <c r="AQ144" i="4"/>
  <c r="AK101" i="4"/>
  <c r="AL101" i="4" s="1"/>
  <c r="AF111" i="4"/>
  <c r="AG111" i="4" s="1"/>
  <c r="AI111" i="4" s="1"/>
  <c r="AK74" i="4"/>
  <c r="AL74" i="4" s="1"/>
  <c r="AO74" i="4" s="1"/>
  <c r="AN101" i="4"/>
  <c r="AN111" i="4"/>
  <c r="AO111" i="4" s="1"/>
  <c r="AC133" i="4"/>
  <c r="AD133" i="4" s="1"/>
  <c r="AQ109" i="4"/>
  <c r="AP9" i="4"/>
  <c r="AP112" i="4"/>
  <c r="AF110" i="4"/>
  <c r="AG110" i="4" s="1"/>
  <c r="AI110" i="4" s="1"/>
  <c r="AC109" i="4"/>
  <c r="AD109" i="4" s="1"/>
  <c r="AF112" i="4"/>
  <c r="AG112" i="4" s="1"/>
  <c r="AI112" i="4" s="1"/>
  <c r="AP67" i="4"/>
  <c r="AK124" i="4"/>
  <c r="AL124" i="4" s="1"/>
  <c r="AQ112" i="4"/>
  <c r="AC12" i="4"/>
  <c r="AD12" i="4" s="1"/>
  <c r="AC137" i="4"/>
  <c r="AD137" i="4" s="1"/>
  <c r="AQ137" i="4"/>
  <c r="AF152" i="4"/>
  <c r="AG152" i="4" s="1"/>
  <c r="AI152" i="4" s="1"/>
  <c r="AK94" i="4"/>
  <c r="AL94" i="4" s="1"/>
  <c r="AN89" i="4"/>
  <c r="AO89" i="4" s="1"/>
  <c r="AK152" i="4"/>
  <c r="AL152" i="4" s="1"/>
  <c r="AO152" i="4" s="1"/>
  <c r="AN94" i="4"/>
  <c r="AQ67" i="4"/>
  <c r="AC18" i="4"/>
  <c r="AD18" i="4" s="1"/>
  <c r="AC74" i="4"/>
  <c r="AD74" i="4" s="1"/>
  <c r="AF93" i="4"/>
  <c r="AG93" i="4" s="1"/>
  <c r="AI93" i="4" s="1"/>
  <c r="AP14" i="4"/>
  <c r="AK93" i="4"/>
  <c r="AL93" i="4" s="1"/>
  <c r="AO93" i="4" s="1"/>
  <c r="AC14" i="4"/>
  <c r="AD14" i="4" s="1"/>
  <c r="AQ8" i="4"/>
  <c r="AQ18" i="4"/>
  <c r="AQ24" i="4"/>
  <c r="AF136" i="4"/>
  <c r="AG136" i="4" s="1"/>
  <c r="AI136" i="4" s="1"/>
  <c r="AF116" i="4"/>
  <c r="AG116" i="4" s="1"/>
  <c r="AI116" i="4" s="1"/>
  <c r="AC93" i="4"/>
  <c r="AD93" i="4" s="1"/>
  <c r="AQ22" i="4"/>
  <c r="AQ136" i="4"/>
  <c r="AF60" i="4"/>
  <c r="AG60" i="4" s="1"/>
  <c r="AI60" i="4" s="1"/>
  <c r="AN59" i="4"/>
  <c r="AP93" i="4"/>
  <c r="AQ79" i="4"/>
  <c r="AP22" i="4"/>
  <c r="AP136" i="4"/>
  <c r="AC25" i="4"/>
  <c r="AD25" i="4" s="1"/>
  <c r="AK95" i="4"/>
  <c r="AL95" i="4" s="1"/>
  <c r="AO95" i="4" s="1"/>
  <c r="AQ25" i="4"/>
  <c r="AF95" i="4"/>
  <c r="AG95" i="4" s="1"/>
  <c r="AI95" i="4" s="1"/>
  <c r="AF143" i="4"/>
  <c r="AG143" i="4" s="1"/>
  <c r="AI143" i="4" s="1"/>
  <c r="AC24" i="4"/>
  <c r="AD24" i="4" s="1"/>
  <c r="AK143" i="4"/>
  <c r="AL143" i="4" s="1"/>
  <c r="AO143" i="4" s="1"/>
  <c r="AP135" i="4"/>
  <c r="AQ135" i="4"/>
  <c r="AC113" i="4"/>
  <c r="AD113" i="4" s="1"/>
  <c r="AC66" i="4"/>
  <c r="AD66" i="4" s="1"/>
  <c r="AP96" i="4"/>
  <c r="AK137" i="4"/>
  <c r="AL137" i="4" s="1"/>
  <c r="AF97" i="4"/>
  <c r="AG97" i="4" s="1"/>
  <c r="AI97" i="4" s="1"/>
  <c r="AQ16" i="4"/>
  <c r="AF144" i="4"/>
  <c r="AG144" i="4" s="1"/>
  <c r="AI144" i="4" s="1"/>
  <c r="AC11" i="5"/>
  <c r="AE11" i="5" s="1"/>
  <c r="AN97" i="4"/>
  <c r="AO97" i="4" s="1"/>
  <c r="AC92" i="4"/>
  <c r="AD92" i="4" s="1"/>
  <c r="AN82" i="4"/>
  <c r="AO82" i="4" s="1"/>
  <c r="AP7" i="4"/>
  <c r="AQ7" i="4"/>
  <c r="AC23" i="4"/>
  <c r="AD23" i="4" s="1"/>
  <c r="AN144" i="4"/>
  <c r="AO144" i="4" s="1"/>
  <c r="AP92" i="4"/>
  <c r="AF65" i="4"/>
  <c r="AG65" i="4" s="1"/>
  <c r="AI65" i="4" s="1"/>
  <c r="AF67" i="4"/>
  <c r="AG67" i="4" s="1"/>
  <c r="AI67" i="4" s="1"/>
  <c r="AF77" i="4"/>
  <c r="AG77" i="4" s="1"/>
  <c r="AI77" i="4" s="1"/>
  <c r="AQ23" i="4"/>
  <c r="AC111" i="4"/>
  <c r="AD111" i="4" s="1"/>
  <c r="AN67" i="4"/>
  <c r="AO67" i="4" s="1"/>
  <c r="AK77" i="4"/>
  <c r="AL77" i="4" s="1"/>
  <c r="AO77" i="4" s="1"/>
  <c r="AF128" i="4"/>
  <c r="AG128" i="4" s="1"/>
  <c r="AI128" i="4" s="1"/>
  <c r="AK81" i="4"/>
  <c r="AL81" i="4" s="1"/>
  <c r="AO81" i="4" s="1"/>
  <c r="AQ111" i="4"/>
  <c r="AN128" i="4"/>
  <c r="AO128" i="4" s="1"/>
  <c r="AF81" i="4"/>
  <c r="AG81" i="4" s="1"/>
  <c r="AI81" i="4" s="1"/>
  <c r="AC156" i="4"/>
  <c r="AD156" i="4" s="1"/>
  <c r="AF98" i="4"/>
  <c r="AG98" i="4" s="1"/>
  <c r="AI98" i="4" s="1"/>
  <c r="AF79" i="4"/>
  <c r="AG79" i="4" s="1"/>
  <c r="AI79" i="4" s="1"/>
  <c r="AP156" i="4"/>
  <c r="AP16" i="4"/>
  <c r="AF82" i="4"/>
  <c r="AG82" i="4" s="1"/>
  <c r="AI82" i="4" s="1"/>
  <c r="AN98" i="4"/>
  <c r="AO98" i="4" s="1"/>
  <c r="AK79" i="4"/>
  <c r="AL79" i="4" s="1"/>
  <c r="AO79" i="4" s="1"/>
  <c r="AO18" i="4"/>
  <c r="AC102" i="4"/>
  <c r="AD102" i="4" s="1"/>
  <c r="AP143" i="4"/>
  <c r="AN137" i="4"/>
  <c r="AP102" i="4"/>
  <c r="AC143" i="4"/>
  <c r="AD143" i="4" s="1"/>
  <c r="AN66" i="4"/>
  <c r="AN121" i="4"/>
  <c r="AO121" i="4" s="1"/>
  <c r="AF102" i="4"/>
  <c r="AG102" i="4" s="1"/>
  <c r="AI102" i="4" s="1"/>
  <c r="AK66" i="4"/>
  <c r="AL66" i="4" s="1"/>
  <c r="AF121" i="4"/>
  <c r="AG121" i="4" s="1"/>
  <c r="AI121" i="4" s="1"/>
  <c r="AP118" i="4"/>
  <c r="AP20" i="4"/>
  <c r="AK102" i="4"/>
  <c r="AL102" i="4" s="1"/>
  <c r="AO102" i="4" s="1"/>
  <c r="AC15" i="4"/>
  <c r="AD15" i="4" s="1"/>
  <c r="AC118" i="4"/>
  <c r="AD118" i="4" s="1"/>
  <c r="AC20" i="4"/>
  <c r="AD20" i="4" s="1"/>
  <c r="AP15" i="4"/>
  <c r="AC96" i="4"/>
  <c r="AD96" i="4" s="1"/>
  <c r="AP116" i="4"/>
  <c r="AQ9" i="4"/>
  <c r="AP12" i="4"/>
  <c r="AN124" i="4"/>
  <c r="AQ116" i="4"/>
  <c r="AF96" i="4"/>
  <c r="AG96" i="4" s="1"/>
  <c r="AI96" i="4" s="1"/>
  <c r="AC121" i="4"/>
  <c r="AD121" i="4" s="1"/>
  <c r="AK96" i="4"/>
  <c r="AL96" i="4" s="1"/>
  <c r="AO96" i="4" s="1"/>
  <c r="AQ121" i="4"/>
  <c r="AO107" i="4"/>
  <c r="AU107" i="4" s="1"/>
  <c r="AW107" i="4" s="1"/>
  <c r="AF125" i="4"/>
  <c r="AG125" i="4" s="1"/>
  <c r="AI125" i="4" s="1"/>
  <c r="AF89" i="4"/>
  <c r="AG89" i="4" s="1"/>
  <c r="AI89" i="4" s="1"/>
  <c r="AK125" i="4"/>
  <c r="AL125" i="4" s="1"/>
  <c r="AO125" i="4" s="1"/>
  <c r="AO150" i="4"/>
  <c r="AU150" i="4" s="1"/>
  <c r="AW150" i="4" s="1"/>
  <c r="AO34" i="4"/>
  <c r="AO157" i="4"/>
  <c r="AU157" i="4" s="1"/>
  <c r="AW157" i="4" s="1"/>
  <c r="AO22" i="4"/>
  <c r="AO48" i="4"/>
  <c r="AO132" i="4"/>
  <c r="AU132" i="4" s="1"/>
  <c r="AW132" i="4" s="1"/>
  <c r="AO7" i="4"/>
  <c r="AO19" i="4"/>
  <c r="AO11" i="4"/>
  <c r="AO103" i="4"/>
  <c r="AU103" i="4" s="1"/>
  <c r="AW103" i="4" s="1"/>
  <c r="AO87" i="4"/>
  <c r="AU87" i="4" s="1"/>
  <c r="AW87" i="4" s="1"/>
  <c r="AO91" i="4"/>
  <c r="AU91" i="4" s="1"/>
  <c r="AW91" i="4" s="1"/>
  <c r="AO138" i="4"/>
  <c r="AU138" i="4" s="1"/>
  <c r="AW138" i="4" s="1"/>
  <c r="AO80" i="4"/>
  <c r="AU80" i="4" s="1"/>
  <c r="AW80" i="4" s="1"/>
  <c r="BF418" i="5"/>
  <c r="BG418" i="5" s="1"/>
  <c r="BL418" i="5" s="1"/>
  <c r="AO16" i="4"/>
  <c r="AO9" i="4"/>
  <c r="AO53" i="4"/>
  <c r="AO21" i="4"/>
  <c r="AE418" i="5"/>
  <c r="AO72" i="4"/>
  <c r="AU72" i="4" s="1"/>
  <c r="AW72" i="4" s="1"/>
  <c r="AO38" i="4"/>
  <c r="AU38" i="4" s="1"/>
  <c r="AW38" i="4" s="1"/>
  <c r="AO52" i="4"/>
  <c r="AO147" i="4"/>
  <c r="AU147" i="4" s="1"/>
  <c r="AW147" i="4" s="1"/>
  <c r="AO88" i="4"/>
  <c r="AU88" i="4" s="1"/>
  <c r="AW88" i="4" s="1"/>
  <c r="AO15" i="4"/>
  <c r="AO8" i="4"/>
  <c r="AO24" i="4"/>
  <c r="AO68" i="4"/>
  <c r="AU68" i="4" s="1"/>
  <c r="AW68" i="4" s="1"/>
  <c r="AO31" i="4"/>
  <c r="AO13" i="4"/>
  <c r="AO10" i="4"/>
  <c r="AO27" i="4"/>
  <c r="AO20" i="4"/>
  <c r="AO84" i="4"/>
  <c r="AU84" i="4" s="1"/>
  <c r="AW84" i="4" s="1"/>
  <c r="AO37" i="4"/>
  <c r="AO12" i="4"/>
  <c r="AO25" i="4"/>
  <c r="AD559" i="5"/>
  <c r="BF559" i="5"/>
  <c r="AE559" i="5"/>
  <c r="AD27" i="5"/>
  <c r="BF27" i="5"/>
  <c r="AE27" i="5"/>
  <c r="AD69" i="5"/>
  <c r="BF69" i="5"/>
  <c r="AE69" i="5"/>
  <c r="AE384" i="5"/>
  <c r="AD384" i="5"/>
  <c r="BF384" i="5"/>
  <c r="AE101" i="5"/>
  <c r="AD101" i="5"/>
  <c r="BF101" i="5"/>
  <c r="BF391" i="5"/>
  <c r="AE391" i="5"/>
  <c r="AD391" i="5"/>
  <c r="AE409" i="5"/>
  <c r="AD409" i="5"/>
  <c r="BF409" i="5"/>
  <c r="AD385" i="5"/>
  <c r="AE385" i="5"/>
  <c r="BF385" i="5"/>
  <c r="AE197" i="5"/>
  <c r="AD197" i="5"/>
  <c r="BF197" i="5"/>
  <c r="AE183" i="5"/>
  <c r="AD183" i="5"/>
  <c r="BF183" i="5"/>
  <c r="AE478" i="5"/>
  <c r="BF478" i="5"/>
  <c r="AD478" i="5"/>
  <c r="AE368" i="5"/>
  <c r="AD368" i="5"/>
  <c r="BF368" i="5"/>
  <c r="AE436" i="5"/>
  <c r="AD436" i="5"/>
  <c r="BF436" i="5"/>
  <c r="AD26" i="5"/>
  <c r="AE26" i="5"/>
  <c r="BF26" i="5"/>
  <c r="BF52" i="5"/>
  <c r="AE52" i="5"/>
  <c r="AD52" i="5"/>
  <c r="AD361" i="5"/>
  <c r="BF361" i="5"/>
  <c r="AE361" i="5"/>
  <c r="AD103" i="5"/>
  <c r="AE103" i="5"/>
  <c r="BF103" i="5"/>
  <c r="AD140" i="5"/>
  <c r="BF140" i="5"/>
  <c r="AE140" i="5"/>
  <c r="AE206" i="5"/>
  <c r="BF206" i="5"/>
  <c r="AD206" i="5"/>
  <c r="AE261" i="5"/>
  <c r="AD261" i="5"/>
  <c r="BF261" i="5"/>
  <c r="BF142" i="5"/>
  <c r="AD142" i="5"/>
  <c r="AE142" i="5"/>
  <c r="BF50" i="5"/>
  <c r="AE50" i="5"/>
  <c r="AD50" i="5"/>
  <c r="AE459" i="5"/>
  <c r="BF459" i="5"/>
  <c r="AD459" i="5"/>
  <c r="BF96" i="5"/>
  <c r="AD96" i="5"/>
  <c r="AE96" i="5"/>
  <c r="BK260" i="5"/>
  <c r="BJ260" i="5"/>
  <c r="BK252" i="5"/>
  <c r="BJ252" i="5"/>
  <c r="AD297" i="5"/>
  <c r="AE297" i="5"/>
  <c r="BF297" i="5"/>
  <c r="AD97" i="5"/>
  <c r="AE97" i="5"/>
  <c r="BF97" i="5"/>
  <c r="AD358" i="5"/>
  <c r="AE358" i="5"/>
  <c r="BF358" i="5"/>
  <c r="AD260" i="5"/>
  <c r="AE260" i="5"/>
  <c r="BF260" i="5"/>
  <c r="AD38" i="5"/>
  <c r="BF38" i="5"/>
  <c r="AE38" i="5"/>
  <c r="BF141" i="5"/>
  <c r="AE141" i="5"/>
  <c r="AD141" i="5"/>
  <c r="AD45" i="5"/>
  <c r="BF45" i="5"/>
  <c r="AE45" i="5"/>
  <c r="AD265" i="5"/>
  <c r="AE265" i="5"/>
  <c r="BF265" i="5"/>
  <c r="AD531" i="5"/>
  <c r="BF531" i="5"/>
  <c r="AE531" i="5"/>
  <c r="BF513" i="5"/>
  <c r="AD513" i="5"/>
  <c r="AE513" i="5"/>
  <c r="AE134" i="5"/>
  <c r="BF134" i="5"/>
  <c r="AD134" i="5"/>
  <c r="BF104" i="5"/>
  <c r="AD104" i="5"/>
  <c r="AE104" i="5"/>
  <c r="AE479" i="5"/>
  <c r="AD479" i="5"/>
  <c r="BF479" i="5"/>
  <c r="BF122" i="5"/>
  <c r="AD122" i="5"/>
  <c r="AE122" i="5"/>
  <c r="BF383" i="5"/>
  <c r="AE383" i="5"/>
  <c r="AD383" i="5"/>
  <c r="AD519" i="5"/>
  <c r="AE519" i="5"/>
  <c r="BF519" i="5"/>
  <c r="AD470" i="5"/>
  <c r="AE470" i="5"/>
  <c r="BF470" i="5"/>
  <c r="BF139" i="5"/>
  <c r="AE139" i="5"/>
  <c r="AD139" i="5"/>
  <c r="AD208" i="5"/>
  <c r="BF208" i="5"/>
  <c r="AE208" i="5"/>
  <c r="AE308" i="5"/>
  <c r="AD308" i="5"/>
  <c r="BF308" i="5"/>
  <c r="BF510" i="5"/>
  <c r="AD510" i="5"/>
  <c r="AE510" i="5"/>
  <c r="AD552" i="5"/>
  <c r="AE552" i="5"/>
  <c r="BF552" i="5"/>
  <c r="BF182" i="5"/>
  <c r="AD182" i="5"/>
  <c r="AE182" i="5"/>
  <c r="AE20" i="5"/>
  <c r="BF20" i="5"/>
  <c r="AD20" i="5"/>
  <c r="AE516" i="5"/>
  <c r="AD516" i="5"/>
  <c r="BF516" i="5"/>
  <c r="AD205" i="5"/>
  <c r="BF205" i="5"/>
  <c r="AE205" i="5"/>
  <c r="AE106" i="5"/>
  <c r="BF106" i="5"/>
  <c r="AD106" i="5"/>
  <c r="AE318" i="5"/>
  <c r="BF318" i="5"/>
  <c r="AD318" i="5"/>
  <c r="AE334" i="5"/>
  <c r="BF334" i="5"/>
  <c r="AD334" i="5"/>
  <c r="AE157" i="5"/>
  <c r="BF157" i="5"/>
  <c r="AD157" i="5"/>
  <c r="AE503" i="5"/>
  <c r="BF503" i="5"/>
  <c r="AD503" i="5"/>
  <c r="AD232" i="5"/>
  <c r="BF232" i="5"/>
  <c r="AE232" i="5"/>
  <c r="BF345" i="5"/>
  <c r="AE345" i="5"/>
  <c r="AD345" i="5"/>
  <c r="AD541" i="5"/>
  <c r="BF541" i="5"/>
  <c r="AE541" i="5"/>
  <c r="AE21" i="5"/>
  <c r="AD21" i="5"/>
  <c r="BF21" i="5"/>
  <c r="AE210" i="5"/>
  <c r="BF210" i="5"/>
  <c r="AD210" i="5"/>
  <c r="AD437" i="5"/>
  <c r="BF437" i="5"/>
  <c r="AE437" i="5"/>
  <c r="BF372" i="5"/>
  <c r="AD372" i="5"/>
  <c r="AE372" i="5"/>
  <c r="AE549" i="5"/>
  <c r="BF549" i="5"/>
  <c r="AD549" i="5"/>
  <c r="AE150" i="5"/>
  <c r="AD150" i="5"/>
  <c r="BF150" i="5"/>
  <c r="AD279" i="5"/>
  <c r="BF279" i="5"/>
  <c r="AE279" i="5"/>
  <c r="AE207" i="5"/>
  <c r="AD207" i="5"/>
  <c r="BF207" i="5"/>
  <c r="BF128" i="5"/>
  <c r="AE128" i="5"/>
  <c r="AD128" i="5"/>
  <c r="AE544" i="5"/>
  <c r="AD544" i="5"/>
  <c r="BF544" i="5"/>
  <c r="AD287" i="5"/>
  <c r="BF287" i="5"/>
  <c r="AE287" i="5"/>
  <c r="AD432" i="5"/>
  <c r="AE432" i="5"/>
  <c r="BF432" i="5"/>
  <c r="AD253" i="5"/>
  <c r="BF253" i="5"/>
  <c r="AE253" i="5"/>
  <c r="AE295" i="5"/>
  <c r="AD295" i="5"/>
  <c r="BF295" i="5"/>
  <c r="AD452" i="5"/>
  <c r="BF452" i="5"/>
  <c r="AE452" i="5"/>
  <c r="AE512" i="5"/>
  <c r="BF512" i="5"/>
  <c r="AD512" i="5"/>
  <c r="AD53" i="5"/>
  <c r="AE53" i="5"/>
  <c r="BF53" i="5"/>
  <c r="AE388" i="5"/>
  <c r="AD388" i="5"/>
  <c r="BF388" i="5"/>
  <c r="AE288" i="5"/>
  <c r="AD288" i="5"/>
  <c r="BF288" i="5"/>
  <c r="AE351" i="5"/>
  <c r="AD351" i="5"/>
  <c r="BF351" i="5"/>
  <c r="AE547" i="5"/>
  <c r="AD547" i="5"/>
  <c r="BF547" i="5"/>
  <c r="AE493" i="5"/>
  <c r="AD493" i="5"/>
  <c r="BF493" i="5"/>
  <c r="BF428" i="5"/>
  <c r="AD428" i="5"/>
  <c r="AE428" i="5"/>
  <c r="BF48" i="5"/>
  <c r="AD48" i="5"/>
  <c r="AE48" i="5"/>
  <c r="AE117" i="5"/>
  <c r="AD117" i="5"/>
  <c r="BF117" i="5"/>
  <c r="AE173" i="5"/>
  <c r="BF173" i="5"/>
  <c r="AD173" i="5"/>
  <c r="AD228" i="5"/>
  <c r="AE228" i="5"/>
  <c r="BF228" i="5"/>
  <c r="AE94" i="5"/>
  <c r="AD94" i="5"/>
  <c r="BF94" i="5"/>
  <c r="AD456" i="5"/>
  <c r="BF456" i="5"/>
  <c r="AE456" i="5"/>
  <c r="AD413" i="5"/>
  <c r="AE413" i="5"/>
  <c r="BF413" i="5"/>
  <c r="AD92" i="5"/>
  <c r="AE92" i="5"/>
  <c r="BF92" i="5"/>
  <c r="BK411" i="5"/>
  <c r="BJ411" i="5"/>
  <c r="AD44" i="5"/>
  <c r="BF44" i="5"/>
  <c r="AE44" i="5"/>
  <c r="AD431" i="5"/>
  <c r="AE431" i="5"/>
  <c r="BF431" i="5"/>
  <c r="AE144" i="5"/>
  <c r="AD144" i="5"/>
  <c r="BF144" i="5"/>
  <c r="BF88" i="5"/>
  <c r="AE88" i="5"/>
  <c r="AD88" i="5"/>
  <c r="AD8" i="5"/>
  <c r="AE8" i="5"/>
  <c r="BF8" i="5"/>
  <c r="BF254" i="5"/>
  <c r="AE254" i="5"/>
  <c r="AD254" i="5"/>
  <c r="AD370" i="5"/>
  <c r="AE370" i="5"/>
  <c r="BF370" i="5"/>
  <c r="AD245" i="5"/>
  <c r="BF245" i="5"/>
  <c r="AE245" i="5"/>
  <c r="AE243" i="5"/>
  <c r="BF243" i="5"/>
  <c r="AD243" i="5"/>
  <c r="BF429" i="5"/>
  <c r="AD429" i="5"/>
  <c r="AE429" i="5"/>
  <c r="AE482" i="5"/>
  <c r="BF482" i="5"/>
  <c r="AD482" i="5"/>
  <c r="AE185" i="5"/>
  <c r="BF185" i="5"/>
  <c r="AD185" i="5"/>
  <c r="AD112" i="5"/>
  <c r="AE112" i="5"/>
  <c r="BF112" i="5"/>
  <c r="AE538" i="5"/>
  <c r="BF538" i="5"/>
  <c r="AD538" i="5"/>
  <c r="AD231" i="5"/>
  <c r="BF231" i="5"/>
  <c r="AE231" i="5"/>
  <c r="AE477" i="5"/>
  <c r="AD477" i="5"/>
  <c r="BF477" i="5"/>
  <c r="AE526" i="5"/>
  <c r="AD526" i="5"/>
  <c r="BF526" i="5"/>
  <c r="AE290" i="5"/>
  <c r="AD290" i="5"/>
  <c r="BF290" i="5"/>
  <c r="AD168" i="5"/>
  <c r="BF168" i="5"/>
  <c r="AE168" i="5"/>
  <c r="AE252" i="5"/>
  <c r="BF252" i="5"/>
  <c r="AD252" i="5"/>
  <c r="AD426" i="5"/>
  <c r="BF426" i="5"/>
  <c r="AE426" i="5"/>
  <c r="AE491" i="5"/>
  <c r="AD491" i="5"/>
  <c r="BF491" i="5"/>
  <c r="BF342" i="5"/>
  <c r="AE342" i="5"/>
  <c r="AD342" i="5"/>
  <c r="AE321" i="5"/>
  <c r="AD321" i="5"/>
  <c r="BF321" i="5"/>
  <c r="BF481" i="5"/>
  <c r="AE481" i="5"/>
  <c r="AD481" i="5"/>
  <c r="AD54" i="5"/>
  <c r="BF54" i="5"/>
  <c r="AE54" i="5"/>
  <c r="AE219" i="5"/>
  <c r="AD219" i="5"/>
  <c r="BF219" i="5"/>
  <c r="AE317" i="5"/>
  <c r="BF317" i="5"/>
  <c r="AD317" i="5"/>
  <c r="AE163" i="5"/>
  <c r="BF163" i="5"/>
  <c r="AD163" i="5"/>
  <c r="AE200" i="5"/>
  <c r="AD200" i="5"/>
  <c r="BF200" i="5"/>
  <c r="AD250" i="5"/>
  <c r="BF250" i="5"/>
  <c r="AE250" i="5"/>
  <c r="AE392" i="5"/>
  <c r="AD392" i="5"/>
  <c r="BF392" i="5"/>
  <c r="BF188" i="5"/>
  <c r="AD188" i="5"/>
  <c r="AE188" i="5"/>
  <c r="AE60" i="5"/>
  <c r="AD60" i="5"/>
  <c r="BF60" i="5"/>
  <c r="AE35" i="5"/>
  <c r="AD35" i="5"/>
  <c r="BF35" i="5"/>
  <c r="BK485" i="5"/>
  <c r="BJ485" i="5"/>
  <c r="AO71" i="4"/>
  <c r="AU71" i="4" s="1"/>
  <c r="AW71" i="4" s="1"/>
  <c r="AE218" i="5"/>
  <c r="BF218" i="5"/>
  <c r="AD218" i="5"/>
  <c r="AD235" i="5"/>
  <c r="BF235" i="5"/>
  <c r="AE235" i="5"/>
  <c r="BK209" i="5"/>
  <c r="BJ209" i="5"/>
  <c r="AO23" i="4"/>
  <c r="BK497" i="5"/>
  <c r="BJ497" i="5"/>
  <c r="AE167" i="5"/>
  <c r="AD167" i="5"/>
  <c r="BF167" i="5"/>
  <c r="AO99" i="4"/>
  <c r="AU99" i="4" s="1"/>
  <c r="AW99" i="4" s="1"/>
  <c r="BJ84" i="5"/>
  <c r="BK84" i="5"/>
  <c r="AO146" i="4"/>
  <c r="AU146" i="4" s="1"/>
  <c r="AW146" i="4" s="1"/>
  <c r="BJ127" i="5"/>
  <c r="BK127" i="5"/>
  <c r="AO30" i="4"/>
  <c r="AB11" i="5"/>
  <c r="AA11" i="5"/>
  <c r="U11" i="5"/>
  <c r="V11" i="5"/>
  <c r="AH11" i="5"/>
  <c r="AI11" i="5"/>
  <c r="BK284" i="5"/>
  <c r="BJ284" i="5"/>
  <c r="BK419" i="5"/>
  <c r="BJ419" i="5"/>
  <c r="BJ148" i="5"/>
  <c r="BK148" i="5"/>
  <c r="AO17" i="4"/>
  <c r="AU17" i="4" s="1"/>
  <c r="AW17" i="4" s="1"/>
  <c r="AD348" i="5"/>
  <c r="BF348" i="5"/>
  <c r="AE348" i="5"/>
  <c r="AE299" i="5"/>
  <c r="BF299" i="5"/>
  <c r="AD299" i="5"/>
  <c r="BF447" i="5"/>
  <c r="AE447" i="5"/>
  <c r="AD447" i="5"/>
  <c r="AE364" i="5"/>
  <c r="AD364" i="5"/>
  <c r="BF364" i="5"/>
  <c r="AE172" i="5"/>
  <c r="BF172" i="5"/>
  <c r="AD172" i="5"/>
  <c r="AO35" i="4"/>
  <c r="AO47" i="4"/>
  <c r="AU47" i="4" s="1"/>
  <c r="AW47" i="4" s="1"/>
  <c r="AE256" i="5"/>
  <c r="BF256" i="5"/>
  <c r="AD256" i="5"/>
  <c r="BF77" i="5"/>
  <c r="AE77" i="5"/>
  <c r="AD77" i="5"/>
  <c r="AD514" i="5"/>
  <c r="AE514" i="5"/>
  <c r="BF514" i="5"/>
  <c r="AE242" i="5"/>
  <c r="BF242" i="5"/>
  <c r="AD242" i="5"/>
  <c r="AD504" i="5"/>
  <c r="BF504" i="5"/>
  <c r="AE504" i="5"/>
  <c r="BF115" i="5"/>
  <c r="AE115" i="5"/>
  <c r="AD115" i="5"/>
  <c r="AD521" i="5"/>
  <c r="BF521" i="5"/>
  <c r="AE521" i="5"/>
  <c r="AD42" i="5"/>
  <c r="BF42" i="5"/>
  <c r="AE42" i="5"/>
  <c r="AD300" i="5"/>
  <c r="AE300" i="5"/>
  <c r="BF300" i="5"/>
  <c r="AE109" i="5"/>
  <c r="AD109" i="5"/>
  <c r="BF109" i="5"/>
  <c r="AD56" i="5"/>
  <c r="AE56" i="5"/>
  <c r="BF56" i="5"/>
  <c r="AE528" i="5"/>
  <c r="BF528" i="5"/>
  <c r="AD528" i="5"/>
  <c r="AD116" i="5"/>
  <c r="AE116" i="5"/>
  <c r="BF116" i="5"/>
  <c r="AE40" i="5"/>
  <c r="AD40" i="5"/>
  <c r="BF40" i="5"/>
  <c r="AE360" i="5"/>
  <c r="BF360" i="5"/>
  <c r="AD360" i="5"/>
  <c r="AD107" i="5"/>
  <c r="AE107" i="5"/>
  <c r="BF107" i="5"/>
  <c r="BF298" i="5"/>
  <c r="AD298" i="5"/>
  <c r="AE298" i="5"/>
  <c r="AD498" i="5"/>
  <c r="AE498" i="5"/>
  <c r="BF498" i="5"/>
  <c r="AE184" i="5"/>
  <c r="AD184" i="5"/>
  <c r="BF184" i="5"/>
  <c r="AE387" i="5"/>
  <c r="BF387" i="5"/>
  <c r="AD387" i="5"/>
  <c r="AD464" i="5"/>
  <c r="AE464" i="5"/>
  <c r="BF464" i="5"/>
  <c r="AE202" i="5"/>
  <c r="AD202" i="5"/>
  <c r="BF202" i="5"/>
  <c r="AE158" i="5"/>
  <c r="AD158" i="5"/>
  <c r="BF158" i="5"/>
  <c r="AE467" i="5"/>
  <c r="BF467" i="5"/>
  <c r="AD467" i="5"/>
  <c r="AE102" i="5"/>
  <c r="AD102" i="5"/>
  <c r="BF102" i="5"/>
  <c r="BF502" i="5"/>
  <c r="AD502" i="5"/>
  <c r="AE502" i="5"/>
  <c r="AD400" i="5"/>
  <c r="BF400" i="5"/>
  <c r="AE400" i="5"/>
  <c r="AE147" i="5"/>
  <c r="AD147" i="5"/>
  <c r="BF147" i="5"/>
  <c r="AE312" i="5"/>
  <c r="AD312" i="5"/>
  <c r="BF312" i="5"/>
  <c r="AD439" i="5"/>
  <c r="BF439" i="5"/>
  <c r="AE439" i="5"/>
  <c r="BF135" i="5"/>
  <c r="AE135" i="5"/>
  <c r="AD135" i="5"/>
  <c r="AE330" i="5"/>
  <c r="AD330" i="5"/>
  <c r="BF330" i="5"/>
  <c r="AE534" i="5"/>
  <c r="BF534" i="5"/>
  <c r="AD534" i="5"/>
  <c r="AE344" i="5"/>
  <c r="BF344" i="5"/>
  <c r="AD344" i="5"/>
  <c r="AD524" i="5"/>
  <c r="AE524" i="5"/>
  <c r="BF524" i="5"/>
  <c r="AD410" i="5"/>
  <c r="AE410" i="5"/>
  <c r="BF410" i="5"/>
  <c r="AD81" i="5"/>
  <c r="BF81" i="5"/>
  <c r="AE81" i="5"/>
  <c r="BF430" i="5"/>
  <c r="AD430" i="5"/>
  <c r="AE430" i="5"/>
  <c r="BF448" i="5"/>
  <c r="AE448" i="5"/>
  <c r="AD448" i="5"/>
  <c r="AD286" i="5"/>
  <c r="BF286" i="5"/>
  <c r="AE286" i="5"/>
  <c r="AD485" i="5"/>
  <c r="BF485" i="5"/>
  <c r="AE485" i="5"/>
  <c r="AD160" i="5"/>
  <c r="BF160" i="5"/>
  <c r="AE160" i="5"/>
  <c r="BF406" i="5"/>
  <c r="AD406" i="5"/>
  <c r="AE406" i="5"/>
  <c r="AE332" i="5"/>
  <c r="BF332" i="5"/>
  <c r="AD332" i="5"/>
  <c r="AD515" i="5"/>
  <c r="BF515" i="5"/>
  <c r="AE515" i="5"/>
  <c r="BF217" i="5"/>
  <c r="AD217" i="5"/>
  <c r="AE217" i="5"/>
  <c r="AD72" i="5"/>
  <c r="AE72" i="5"/>
  <c r="BF72" i="5"/>
  <c r="AE543" i="5"/>
  <c r="BF543" i="5"/>
  <c r="AD543" i="5"/>
  <c r="AE194" i="5"/>
  <c r="AD194" i="5"/>
  <c r="BF194" i="5"/>
  <c r="BF268" i="5"/>
  <c r="AE268" i="5"/>
  <c r="AD268" i="5"/>
  <c r="BF55" i="5"/>
  <c r="AD55" i="5"/>
  <c r="AE55" i="5"/>
  <c r="AE325" i="5"/>
  <c r="AD325" i="5"/>
  <c r="BF325" i="5"/>
  <c r="BF327" i="5"/>
  <c r="AD327" i="5"/>
  <c r="AE327" i="5"/>
  <c r="AE73" i="5"/>
  <c r="AD73" i="5"/>
  <c r="BF73" i="5"/>
  <c r="BF296" i="5"/>
  <c r="AE296" i="5"/>
  <c r="AD296" i="5"/>
  <c r="AE66" i="5"/>
  <c r="AD66" i="5"/>
  <c r="BF66" i="5"/>
  <c r="BF366" i="5"/>
  <c r="AD366" i="5"/>
  <c r="AE366" i="5"/>
  <c r="BF186" i="5"/>
  <c r="AE186" i="5"/>
  <c r="AD186" i="5"/>
  <c r="AD63" i="5"/>
  <c r="AE63" i="5"/>
  <c r="BF63" i="5"/>
  <c r="AD396" i="5"/>
  <c r="BF396" i="5"/>
  <c r="AE396" i="5"/>
  <c r="BF284" i="5"/>
  <c r="AD284" i="5"/>
  <c r="AE284" i="5"/>
  <c r="AE293" i="5"/>
  <c r="AD293" i="5"/>
  <c r="BF293" i="5"/>
  <c r="AD12" i="5"/>
  <c r="BF12" i="5"/>
  <c r="AE12" i="5"/>
  <c r="AE259" i="5"/>
  <c r="BF259" i="5"/>
  <c r="AD259" i="5"/>
  <c r="AD10" i="5"/>
  <c r="AE10" i="5"/>
  <c r="BF10" i="5"/>
  <c r="AD32" i="5"/>
  <c r="AE32" i="5"/>
  <c r="BF32" i="5"/>
  <c r="AE556" i="5"/>
  <c r="AD556" i="5"/>
  <c r="BF556" i="5"/>
  <c r="AO120" i="4"/>
  <c r="AU120" i="4" s="1"/>
  <c r="AW120" i="4" s="1"/>
  <c r="AE29" i="5"/>
  <c r="AD29" i="5"/>
  <c r="BF29" i="5"/>
  <c r="AE70" i="5"/>
  <c r="BF70" i="5"/>
  <c r="AD70" i="5"/>
  <c r="AD522" i="5"/>
  <c r="AE522" i="5"/>
  <c r="BF522" i="5"/>
  <c r="AE309" i="5"/>
  <c r="AD309" i="5"/>
  <c r="BF309" i="5"/>
  <c r="BF316" i="5"/>
  <c r="AE316" i="5"/>
  <c r="AD316" i="5"/>
  <c r="BF551" i="5"/>
  <c r="AD551" i="5"/>
  <c r="AE551" i="5"/>
  <c r="AE331" i="5"/>
  <c r="AD331" i="5"/>
  <c r="BF331" i="5"/>
  <c r="BF41" i="5"/>
  <c r="AE41" i="5"/>
  <c r="AD41" i="5"/>
  <c r="AD381" i="5"/>
  <c r="AE381" i="5"/>
  <c r="BF381" i="5"/>
  <c r="AE220" i="5"/>
  <c r="AD220" i="5"/>
  <c r="BF220" i="5"/>
  <c r="BF487" i="5"/>
  <c r="AE487" i="5"/>
  <c r="AD487" i="5"/>
  <c r="AD289" i="5"/>
  <c r="AE289" i="5"/>
  <c r="BF289" i="5"/>
  <c r="AE271" i="5"/>
  <c r="AD271" i="5"/>
  <c r="BF271" i="5"/>
  <c r="AE425" i="5"/>
  <c r="AD425" i="5"/>
  <c r="BF425" i="5"/>
  <c r="AE65" i="5"/>
  <c r="AD65" i="5"/>
  <c r="BF65" i="5"/>
  <c r="AD68" i="5"/>
  <c r="BF68" i="5"/>
  <c r="AE68" i="5"/>
  <c r="BF343" i="5"/>
  <c r="AE343" i="5"/>
  <c r="AD343" i="5"/>
  <c r="BF156" i="5"/>
  <c r="AD156" i="5"/>
  <c r="AE156" i="5"/>
  <c r="BF100" i="5"/>
  <c r="AE100" i="5"/>
  <c r="AD100" i="5"/>
  <c r="AE130" i="5"/>
  <c r="BF130" i="5"/>
  <c r="AD130" i="5"/>
  <c r="AD497" i="5"/>
  <c r="AE497" i="5"/>
  <c r="BF497" i="5"/>
  <c r="BF480" i="5"/>
  <c r="AD480" i="5"/>
  <c r="AE480" i="5"/>
  <c r="AD291" i="5"/>
  <c r="AE291" i="5"/>
  <c r="BF291" i="5"/>
  <c r="AD490" i="5"/>
  <c r="AE490" i="5"/>
  <c r="BF490" i="5"/>
  <c r="AD143" i="5"/>
  <c r="AE143" i="5"/>
  <c r="BF143" i="5"/>
  <c r="AD420" i="5"/>
  <c r="AE420" i="5"/>
  <c r="BF420" i="5"/>
  <c r="AE251" i="5"/>
  <c r="AD251" i="5"/>
  <c r="BF251" i="5"/>
  <c r="AE152" i="5"/>
  <c r="BF152" i="5"/>
  <c r="AD152" i="5"/>
  <c r="AD336" i="5"/>
  <c r="AE336" i="5"/>
  <c r="BF336" i="5"/>
  <c r="AD557" i="5"/>
  <c r="AE557" i="5"/>
  <c r="BF557" i="5"/>
  <c r="AE283" i="5"/>
  <c r="AD283" i="5"/>
  <c r="BF283" i="5"/>
  <c r="AE280" i="5"/>
  <c r="AD280" i="5"/>
  <c r="BF280" i="5"/>
  <c r="AE454" i="5"/>
  <c r="AD454" i="5"/>
  <c r="BF454" i="5"/>
  <c r="BJ446" i="5"/>
  <c r="BK446" i="5"/>
  <c r="AE28" i="5"/>
  <c r="BF28" i="5"/>
  <c r="AD28" i="5"/>
  <c r="AD542" i="5"/>
  <c r="AE542" i="5"/>
  <c r="BF542" i="5"/>
  <c r="BF415" i="5"/>
  <c r="AE415" i="5"/>
  <c r="AD415" i="5"/>
  <c r="AE421" i="5"/>
  <c r="BF421" i="5"/>
  <c r="AD421" i="5"/>
  <c r="AD473" i="5"/>
  <c r="AE473" i="5"/>
  <c r="BF473" i="5"/>
  <c r="AE277" i="5"/>
  <c r="AD277" i="5"/>
  <c r="BF277" i="5"/>
  <c r="AE324" i="5"/>
  <c r="BF324" i="5"/>
  <c r="AD324" i="5"/>
  <c r="AD402" i="5"/>
  <c r="AE402" i="5"/>
  <c r="BF402" i="5"/>
  <c r="AE162" i="5"/>
  <c r="AD162" i="5"/>
  <c r="BF162" i="5"/>
  <c r="BF124" i="5"/>
  <c r="AD124" i="5"/>
  <c r="AE124" i="5"/>
  <c r="AE171" i="5"/>
  <c r="AD171" i="5"/>
  <c r="BF171" i="5"/>
  <c r="AE457" i="5"/>
  <c r="BF457" i="5"/>
  <c r="AD457" i="5"/>
  <c r="BF435" i="5"/>
  <c r="AD435" i="5"/>
  <c r="AE435" i="5"/>
  <c r="AD535" i="5"/>
  <c r="AE535" i="5"/>
  <c r="BF535" i="5"/>
  <c r="BF449" i="5"/>
  <c r="AD449" i="5"/>
  <c r="AE449" i="5"/>
  <c r="AD121" i="5"/>
  <c r="AE121" i="5"/>
  <c r="BF121" i="5"/>
  <c r="BF307" i="5"/>
  <c r="AD307" i="5"/>
  <c r="AE307" i="5"/>
  <c r="AD266" i="5"/>
  <c r="AE266" i="5"/>
  <c r="BF266" i="5"/>
  <c r="AE476" i="5"/>
  <c r="AD476" i="5"/>
  <c r="BF476" i="5"/>
  <c r="AD267" i="5"/>
  <c r="BF267" i="5"/>
  <c r="AE267" i="5"/>
  <c r="BF285" i="5"/>
  <c r="AE285" i="5"/>
  <c r="AD285" i="5"/>
  <c r="AE263" i="5"/>
  <c r="BF263" i="5"/>
  <c r="AD263" i="5"/>
  <c r="AD255" i="5"/>
  <c r="BF255" i="5"/>
  <c r="AE255" i="5"/>
  <c r="AE23" i="5"/>
  <c r="BF23" i="5"/>
  <c r="AD23" i="5"/>
  <c r="AE138" i="5"/>
  <c r="BF138" i="5"/>
  <c r="AD138" i="5"/>
  <c r="AD365" i="5"/>
  <c r="BF365" i="5"/>
  <c r="AE365" i="5"/>
  <c r="AE340" i="5"/>
  <c r="AD340" i="5"/>
  <c r="BF340" i="5"/>
  <c r="AE216" i="5"/>
  <c r="BF216" i="5"/>
  <c r="AD216" i="5"/>
  <c r="AE179" i="5"/>
  <c r="AD179" i="5"/>
  <c r="BF179" i="5"/>
  <c r="AD398" i="5"/>
  <c r="BF398" i="5"/>
  <c r="AE398" i="5"/>
  <c r="AD354" i="5"/>
  <c r="BF354" i="5"/>
  <c r="AE354" i="5"/>
  <c r="AE529" i="5"/>
  <c r="AD529" i="5"/>
  <c r="BF529" i="5"/>
  <c r="BF239" i="5"/>
  <c r="AE239" i="5"/>
  <c r="AD239" i="5"/>
  <c r="AD367" i="5"/>
  <c r="AE367" i="5"/>
  <c r="BF367" i="5"/>
  <c r="BK524" i="5"/>
  <c r="BJ524" i="5"/>
  <c r="AD494" i="5"/>
  <c r="AE494" i="5"/>
  <c r="BF494" i="5"/>
  <c r="AE248" i="5"/>
  <c r="AD248" i="5"/>
  <c r="BF248" i="5"/>
  <c r="BJ151" i="5"/>
  <c r="BK151" i="5"/>
  <c r="BK73" i="5"/>
  <c r="BJ73" i="5"/>
  <c r="BJ33" i="5"/>
  <c r="BK33" i="5"/>
  <c r="AE315" i="5"/>
  <c r="BF315" i="5"/>
  <c r="AD315" i="5"/>
  <c r="AE249" i="5"/>
  <c r="BF249" i="5"/>
  <c r="AD249" i="5"/>
  <c r="BK416" i="5"/>
  <c r="BJ416" i="5"/>
  <c r="BJ77" i="5"/>
  <c r="BK77" i="5"/>
  <c r="BJ267" i="5"/>
  <c r="BK267" i="5"/>
  <c r="BK9" i="5"/>
  <c r="BJ9" i="5"/>
  <c r="X11" i="5"/>
  <c r="Y11" i="5"/>
  <c r="BB11" i="5"/>
  <c r="BA11" i="5"/>
  <c r="S11" i="5"/>
  <c r="R11" i="5"/>
  <c r="BJ386" i="5"/>
  <c r="BK386" i="5"/>
  <c r="BK186" i="5"/>
  <c r="BJ186" i="5"/>
  <c r="BJ462" i="5"/>
  <c r="BK462" i="5"/>
  <c r="AE37" i="5"/>
  <c r="BF37" i="5"/>
  <c r="AD37" i="5"/>
  <c r="AD180" i="5"/>
  <c r="BF180" i="5"/>
  <c r="AE180" i="5"/>
  <c r="AD64" i="5"/>
  <c r="AE64" i="5"/>
  <c r="BF64" i="5"/>
  <c r="BF91" i="5"/>
  <c r="AD91" i="5"/>
  <c r="AE91" i="5"/>
  <c r="AD518" i="5"/>
  <c r="AE518" i="5"/>
  <c r="BF518" i="5"/>
  <c r="BK444" i="5"/>
  <c r="BJ444" i="5"/>
  <c r="AO139" i="4"/>
  <c r="AU139" i="4" s="1"/>
  <c r="AW139" i="4" s="1"/>
  <c r="AE468" i="5"/>
  <c r="BF468" i="5"/>
  <c r="AD468" i="5"/>
  <c r="AE560" i="5"/>
  <c r="BF560" i="5"/>
  <c r="AD560" i="5"/>
  <c r="BF272" i="5"/>
  <c r="AD272" i="5"/>
  <c r="AE272" i="5"/>
  <c r="AD119" i="5"/>
  <c r="BF119" i="5"/>
  <c r="AE119" i="5"/>
  <c r="AD373" i="5"/>
  <c r="AE373" i="5"/>
  <c r="BF373" i="5"/>
  <c r="AE369" i="5"/>
  <c r="BF369" i="5"/>
  <c r="AD369" i="5"/>
  <c r="AD537" i="5"/>
  <c r="AE537" i="5"/>
  <c r="BF537" i="5"/>
  <c r="BF462" i="5"/>
  <c r="AE462" i="5"/>
  <c r="AD462" i="5"/>
  <c r="AE319" i="5"/>
  <c r="BF319" i="5"/>
  <c r="AD319" i="5"/>
  <c r="AD416" i="5"/>
  <c r="AE416" i="5"/>
  <c r="BF416" i="5"/>
  <c r="AD441" i="5"/>
  <c r="AE441" i="5"/>
  <c r="BF441" i="5"/>
  <c r="BF175" i="5"/>
  <c r="AD175" i="5"/>
  <c r="AE175" i="5"/>
  <c r="AD408" i="5"/>
  <c r="AE408" i="5"/>
  <c r="BF408" i="5"/>
  <c r="AD337" i="5"/>
  <c r="BF337" i="5"/>
  <c r="AE337" i="5"/>
  <c r="AD43" i="5"/>
  <c r="BF43" i="5"/>
  <c r="AE43" i="5"/>
  <c r="BF148" i="5"/>
  <c r="AE148" i="5"/>
  <c r="AD148" i="5"/>
  <c r="AD499" i="5"/>
  <c r="AE499" i="5"/>
  <c r="BF499" i="5"/>
  <c r="AE294" i="5"/>
  <c r="BF294" i="5"/>
  <c r="AD294" i="5"/>
  <c r="AE422" i="5"/>
  <c r="BF422" i="5"/>
  <c r="AD422" i="5"/>
  <c r="AD376" i="5"/>
  <c r="BF376" i="5"/>
  <c r="AE376" i="5"/>
  <c r="AE278" i="5"/>
  <c r="AD278" i="5"/>
  <c r="BF278" i="5"/>
  <c r="AD165" i="5"/>
  <c r="AE165" i="5"/>
  <c r="BF165" i="5"/>
  <c r="AE446" i="5"/>
  <c r="BF446" i="5"/>
  <c r="AD446" i="5"/>
  <c r="AE221" i="5"/>
  <c r="BF221" i="5"/>
  <c r="AD221" i="5"/>
  <c r="AD553" i="5"/>
  <c r="AE553" i="5"/>
  <c r="BF553" i="5"/>
  <c r="AD357" i="5"/>
  <c r="BF357" i="5"/>
  <c r="AE357" i="5"/>
  <c r="AE540" i="5"/>
  <c r="AD540" i="5"/>
  <c r="BF540" i="5"/>
  <c r="BF273" i="5"/>
  <c r="AD273" i="5"/>
  <c r="AE273" i="5"/>
  <c r="AE71" i="5"/>
  <c r="AD71" i="5"/>
  <c r="BF71" i="5"/>
  <c r="AE111" i="5"/>
  <c r="AD111" i="5"/>
  <c r="BF111" i="5"/>
  <c r="BF423" i="5"/>
  <c r="AE423" i="5"/>
  <c r="AD423" i="5"/>
  <c r="AE58" i="5"/>
  <c r="BF58" i="5"/>
  <c r="AD58" i="5"/>
  <c r="AE311" i="5"/>
  <c r="AD311" i="5"/>
  <c r="BF311" i="5"/>
  <c r="AE455" i="5"/>
  <c r="AD455" i="5"/>
  <c r="BF455" i="5"/>
  <c r="AO46" i="4"/>
  <c r="BK529" i="5"/>
  <c r="BJ529" i="5"/>
  <c r="BK154" i="5"/>
  <c r="BJ154" i="5"/>
  <c r="AO100" i="4"/>
  <c r="AU100" i="4" s="1"/>
  <c r="AW100" i="4" s="1"/>
  <c r="AD85" i="5"/>
  <c r="BF85" i="5"/>
  <c r="AE85" i="5"/>
  <c r="AD326" i="5"/>
  <c r="BF326" i="5"/>
  <c r="AE326" i="5"/>
  <c r="AD419" i="5"/>
  <c r="BF419" i="5"/>
  <c r="AE419" i="5"/>
  <c r="AD377" i="5"/>
  <c r="AE377" i="5"/>
  <c r="BF377" i="5"/>
  <c r="BF445" i="5"/>
  <c r="AD445" i="5"/>
  <c r="AE445" i="5"/>
  <c r="AE362" i="5"/>
  <c r="BF362" i="5"/>
  <c r="AD362" i="5"/>
  <c r="AE125" i="5"/>
  <c r="BF125" i="5"/>
  <c r="AD125" i="5"/>
  <c r="AE292" i="5"/>
  <c r="BF292" i="5"/>
  <c r="AD292" i="5"/>
  <c r="BF36" i="5"/>
  <c r="AD36" i="5"/>
  <c r="AE36" i="5"/>
  <c r="BF214" i="5"/>
  <c r="AD214" i="5"/>
  <c r="AE214" i="5"/>
  <c r="AE132" i="5"/>
  <c r="BF132" i="5"/>
  <c r="AD132" i="5"/>
  <c r="AD320" i="5"/>
  <c r="AE320" i="5"/>
  <c r="BF320" i="5"/>
  <c r="AE509" i="5"/>
  <c r="AD509" i="5"/>
  <c r="BF509" i="5"/>
  <c r="AE79" i="5"/>
  <c r="BF79" i="5"/>
  <c r="AD79" i="5"/>
  <c r="AE269" i="5"/>
  <c r="BF269" i="5"/>
  <c r="AD269" i="5"/>
  <c r="AD22" i="5"/>
  <c r="AE22" i="5"/>
  <c r="BF22" i="5"/>
  <c r="AD230" i="5"/>
  <c r="AE230" i="5"/>
  <c r="BF230" i="5"/>
  <c r="AD178" i="5"/>
  <c r="BF178" i="5"/>
  <c r="AE178" i="5"/>
  <c r="BF414" i="5"/>
  <c r="AE414" i="5"/>
  <c r="AD414" i="5"/>
  <c r="AE397" i="5"/>
  <c r="AD397" i="5"/>
  <c r="BF397" i="5"/>
  <c r="BF201" i="5"/>
  <c r="AD201" i="5"/>
  <c r="AE201" i="5"/>
  <c r="BF118" i="5"/>
  <c r="AD118" i="5"/>
  <c r="AE118" i="5"/>
  <c r="AD190" i="5"/>
  <c r="BF190" i="5"/>
  <c r="AE190" i="5"/>
  <c r="AD508" i="5"/>
  <c r="BF508" i="5"/>
  <c r="AE508" i="5"/>
  <c r="BF247" i="5"/>
  <c r="AD247" i="5"/>
  <c r="AE247" i="5"/>
  <c r="AD501" i="5"/>
  <c r="BF501" i="5"/>
  <c r="AE501" i="5"/>
  <c r="BF176" i="5"/>
  <c r="AD176" i="5"/>
  <c r="AE176" i="5"/>
  <c r="AD461" i="5"/>
  <c r="AE461" i="5"/>
  <c r="BF461" i="5"/>
  <c r="AE126" i="5"/>
  <c r="BF126" i="5"/>
  <c r="AD126" i="5"/>
  <c r="AD145" i="5"/>
  <c r="AE145" i="5"/>
  <c r="BF145" i="5"/>
  <c r="BF270" i="5"/>
  <c r="AD270" i="5"/>
  <c r="AE270" i="5"/>
  <c r="AE238" i="5"/>
  <c r="AD238" i="5"/>
  <c r="BF238" i="5"/>
  <c r="BK176" i="5"/>
  <c r="BJ176" i="5"/>
  <c r="BF282" i="5"/>
  <c r="AE282" i="5"/>
  <c r="AD282" i="5"/>
  <c r="AE258" i="5"/>
  <c r="AD258" i="5"/>
  <c r="BF258" i="5"/>
  <c r="BF558" i="5"/>
  <c r="AE558" i="5"/>
  <c r="AD558" i="5"/>
  <c r="AD187" i="5"/>
  <c r="AE187" i="5"/>
  <c r="BF187" i="5"/>
  <c r="AD234" i="5"/>
  <c r="AE234" i="5"/>
  <c r="BF234" i="5"/>
  <c r="AD352" i="5"/>
  <c r="BF352" i="5"/>
  <c r="AE352" i="5"/>
  <c r="AD393" i="5"/>
  <c r="AE393" i="5"/>
  <c r="BF393" i="5"/>
  <c r="AE424" i="5"/>
  <c r="AD424" i="5"/>
  <c r="BF424" i="5"/>
  <c r="AD322" i="5"/>
  <c r="BF322" i="5"/>
  <c r="AE322" i="5"/>
  <c r="BF453" i="5"/>
  <c r="AE453" i="5"/>
  <c r="AD453" i="5"/>
  <c r="BF488" i="5"/>
  <c r="AE488" i="5"/>
  <c r="AD488" i="5"/>
  <c r="AE120" i="5"/>
  <c r="BF120" i="5"/>
  <c r="AD120" i="5"/>
  <c r="AE450" i="5"/>
  <c r="AD450" i="5"/>
  <c r="BF450" i="5"/>
  <c r="AD47" i="5"/>
  <c r="AE47" i="5"/>
  <c r="BF47" i="5"/>
  <c r="BF539" i="5"/>
  <c r="AD539" i="5"/>
  <c r="AE539" i="5"/>
  <c r="AE314" i="5"/>
  <c r="AD314" i="5"/>
  <c r="BF314" i="5"/>
  <c r="AE303" i="5"/>
  <c r="BF303" i="5"/>
  <c r="AD303" i="5"/>
  <c r="BF264" i="5"/>
  <c r="AD264" i="5"/>
  <c r="AE264" i="5"/>
  <c r="AE505" i="5"/>
  <c r="AD505" i="5"/>
  <c r="BF505" i="5"/>
  <c r="AE427" i="5"/>
  <c r="BF427" i="5"/>
  <c r="AD427" i="5"/>
  <c r="AE105" i="5"/>
  <c r="BF105" i="5"/>
  <c r="AD105" i="5"/>
  <c r="AE374" i="5"/>
  <c r="AD374" i="5"/>
  <c r="BF374" i="5"/>
  <c r="BF177" i="5"/>
  <c r="AE177" i="5"/>
  <c r="AD177" i="5"/>
  <c r="AE57" i="5"/>
  <c r="AD57" i="5"/>
  <c r="BF57" i="5"/>
  <c r="AD89" i="5"/>
  <c r="AE89" i="5"/>
  <c r="BF89" i="5"/>
  <c r="AD407" i="5"/>
  <c r="BF407" i="5"/>
  <c r="AE407" i="5"/>
  <c r="AD395" i="5"/>
  <c r="AE395" i="5"/>
  <c r="BF395" i="5"/>
  <c r="AE198" i="5"/>
  <c r="BF198" i="5"/>
  <c r="AD198" i="5"/>
  <c r="BF460" i="5"/>
  <c r="AD460" i="5"/>
  <c r="AE460" i="5"/>
  <c r="AE371" i="5"/>
  <c r="BF371" i="5"/>
  <c r="AD371" i="5"/>
  <c r="AE356" i="5"/>
  <c r="AD356" i="5"/>
  <c r="BF356" i="5"/>
  <c r="AD193" i="5"/>
  <c r="AE193" i="5"/>
  <c r="BF193" i="5"/>
  <c r="BF133" i="5"/>
  <c r="AD133" i="5"/>
  <c r="AE133" i="5"/>
  <c r="AE19" i="5"/>
  <c r="AD19" i="5"/>
  <c r="BF19" i="5"/>
  <c r="AE341" i="5"/>
  <c r="AD341" i="5"/>
  <c r="BF341" i="5"/>
  <c r="AD181" i="5"/>
  <c r="BF181" i="5"/>
  <c r="AE181" i="5"/>
  <c r="AD209" i="5"/>
  <c r="BF209" i="5"/>
  <c r="AE209" i="5"/>
  <c r="AD353" i="5"/>
  <c r="AE353" i="5"/>
  <c r="BF353" i="5"/>
  <c r="AE87" i="5"/>
  <c r="AD87" i="5"/>
  <c r="BF87" i="5"/>
  <c r="AE458" i="5"/>
  <c r="BF458" i="5"/>
  <c r="AD458" i="5"/>
  <c r="AD301" i="5"/>
  <c r="AE301" i="5"/>
  <c r="BF301" i="5"/>
  <c r="BF153" i="5"/>
  <c r="AD153" i="5"/>
  <c r="AE153" i="5"/>
  <c r="AE74" i="5"/>
  <c r="BF74" i="5"/>
  <c r="AD74" i="5"/>
  <c r="AE399" i="5"/>
  <c r="AD399" i="5"/>
  <c r="BF399" i="5"/>
  <c r="AD346" i="5"/>
  <c r="AE346" i="5"/>
  <c r="BF346" i="5"/>
  <c r="AE82" i="5"/>
  <c r="AD82" i="5"/>
  <c r="BF82" i="5"/>
  <c r="AE33" i="5"/>
  <c r="AD33" i="5"/>
  <c r="BF33" i="5"/>
  <c r="AD323" i="5"/>
  <c r="BF323" i="5"/>
  <c r="AE323" i="5"/>
  <c r="AE155" i="5"/>
  <c r="AD155" i="5"/>
  <c r="BF155" i="5"/>
  <c r="AD223" i="5"/>
  <c r="BF223" i="5"/>
  <c r="AE223" i="5"/>
  <c r="AE335" i="5"/>
  <c r="BF335" i="5"/>
  <c r="AD335" i="5"/>
  <c r="AD389" i="5"/>
  <c r="AE389" i="5"/>
  <c r="BF389" i="5"/>
  <c r="AD530" i="5"/>
  <c r="AE530" i="5"/>
  <c r="BF530" i="5"/>
  <c r="BF154" i="5"/>
  <c r="AE154" i="5"/>
  <c r="AD154" i="5"/>
  <c r="AD347" i="5"/>
  <c r="BF347" i="5"/>
  <c r="AE347" i="5"/>
  <c r="AD306" i="5"/>
  <c r="BF306" i="5"/>
  <c r="AE306" i="5"/>
  <c r="BF305" i="5"/>
  <c r="AE305" i="5"/>
  <c r="AD305" i="5"/>
  <c r="AD536" i="5"/>
  <c r="BF536" i="5"/>
  <c r="AE536" i="5"/>
  <c r="AE196" i="5"/>
  <c r="AD196" i="5"/>
  <c r="BF196" i="5"/>
  <c r="AD215" i="5"/>
  <c r="AE215" i="5"/>
  <c r="BF215" i="5"/>
  <c r="AE78" i="5"/>
  <c r="BF78" i="5"/>
  <c r="AD78" i="5"/>
  <c r="AE192" i="5"/>
  <c r="BF192" i="5"/>
  <c r="AD192" i="5"/>
  <c r="AE404" i="5"/>
  <c r="AD404" i="5"/>
  <c r="BF404" i="5"/>
  <c r="AD355" i="5"/>
  <c r="AE355" i="5"/>
  <c r="BF355" i="5"/>
  <c r="BF386" i="5"/>
  <c r="AD386" i="5"/>
  <c r="AE386" i="5"/>
  <c r="AD302" i="5"/>
  <c r="AE302" i="5"/>
  <c r="BF302" i="5"/>
  <c r="BF444" i="5"/>
  <c r="AD444" i="5"/>
  <c r="AE444" i="5"/>
  <c r="AO41" i="4"/>
  <c r="BK54" i="5"/>
  <c r="BJ54" i="5"/>
  <c r="AO115" i="4"/>
  <c r="AU115" i="4" s="1"/>
  <c r="AW115" i="4" s="1"/>
  <c r="AE304" i="5"/>
  <c r="AD304" i="5"/>
  <c r="BF304" i="5"/>
  <c r="BJ219" i="5"/>
  <c r="BK219" i="5"/>
  <c r="BK13" i="5"/>
  <c r="BJ13" i="5"/>
  <c r="AO14" i="4"/>
  <c r="AE527" i="5"/>
  <c r="BF527" i="5"/>
  <c r="AD527" i="5"/>
  <c r="AD129" i="5"/>
  <c r="BF129" i="5"/>
  <c r="AE129" i="5"/>
  <c r="AO44" i="4"/>
  <c r="AK11" i="5"/>
  <c r="AL11" i="5"/>
  <c r="AP11" i="5"/>
  <c r="AO11" i="5"/>
  <c r="AN11" i="5"/>
  <c r="AO70" i="4"/>
  <c r="AU70" i="4" s="1"/>
  <c r="AW70" i="4" s="1"/>
  <c r="BK159" i="5"/>
  <c r="BJ159" i="5"/>
  <c r="BJ394" i="5"/>
  <c r="BK394" i="5"/>
  <c r="BF46" i="5"/>
  <c r="AD46" i="5"/>
  <c r="AE46" i="5"/>
  <c r="AD405" i="5"/>
  <c r="BF405" i="5"/>
  <c r="AE405" i="5"/>
  <c r="AE62" i="5"/>
  <c r="AD62" i="5"/>
  <c r="BF62" i="5"/>
  <c r="AD466" i="5"/>
  <c r="BF466" i="5"/>
  <c r="AE466" i="5"/>
  <c r="AD34" i="5"/>
  <c r="BF34" i="5"/>
  <c r="AE34" i="5"/>
  <c r="AE149" i="5"/>
  <c r="AD149" i="5"/>
  <c r="BF149" i="5"/>
  <c r="AE350" i="5"/>
  <c r="BF350" i="5"/>
  <c r="AD350" i="5"/>
  <c r="AE123" i="5"/>
  <c r="AD123" i="5"/>
  <c r="BF123" i="5"/>
  <c r="AE442" i="5"/>
  <c r="BF442" i="5"/>
  <c r="AD442" i="5"/>
  <c r="AE13" i="5"/>
  <c r="AD13" i="5"/>
  <c r="BF13" i="5"/>
  <c r="BF438" i="5"/>
  <c r="AE438" i="5"/>
  <c r="AD438" i="5"/>
  <c r="AD451" i="5"/>
  <c r="AE451" i="5"/>
  <c r="BF451" i="5"/>
  <c r="AD276" i="5"/>
  <c r="BF276" i="5"/>
  <c r="AE276" i="5"/>
  <c r="AE379" i="5"/>
  <c r="AD379" i="5"/>
  <c r="BF379" i="5"/>
  <c r="AE30" i="5"/>
  <c r="BF30" i="5"/>
  <c r="AD30" i="5"/>
  <c r="AD489" i="5"/>
  <c r="BF489" i="5"/>
  <c r="AE489" i="5"/>
  <c r="BF113" i="5"/>
  <c r="AE113" i="5"/>
  <c r="AD113" i="5"/>
  <c r="AE380" i="5"/>
  <c r="BF380" i="5"/>
  <c r="AD380" i="5"/>
  <c r="AE84" i="5"/>
  <c r="BF84" i="5"/>
  <c r="AD84" i="5"/>
  <c r="AD108" i="5"/>
  <c r="AE108" i="5"/>
  <c r="BF108" i="5"/>
  <c r="AE463" i="5"/>
  <c r="BF463" i="5"/>
  <c r="AD463" i="5"/>
  <c r="AE80" i="5"/>
  <c r="BF80" i="5"/>
  <c r="AD80" i="5"/>
  <c r="BF550" i="5"/>
  <c r="AD550" i="5"/>
  <c r="AE550" i="5"/>
  <c r="AE226" i="5"/>
  <c r="BF226" i="5"/>
  <c r="AD226" i="5"/>
  <c r="BF338" i="5"/>
  <c r="AE338" i="5"/>
  <c r="AD338" i="5"/>
  <c r="AD390" i="5"/>
  <c r="AE390" i="5"/>
  <c r="BF390" i="5"/>
  <c r="AD375" i="5"/>
  <c r="AE375" i="5"/>
  <c r="BF375" i="5"/>
  <c r="AE131" i="5"/>
  <c r="AD131" i="5"/>
  <c r="BF131" i="5"/>
  <c r="AE257" i="5"/>
  <c r="BF257" i="5"/>
  <c r="AD257" i="5"/>
  <c r="BF24" i="5"/>
  <c r="AE24" i="5"/>
  <c r="AD24" i="5"/>
  <c r="AE224" i="5"/>
  <c r="BF224" i="5"/>
  <c r="AD224" i="5"/>
  <c r="AE313" i="5"/>
  <c r="AD313" i="5"/>
  <c r="BF313" i="5"/>
  <c r="AD363" i="5"/>
  <c r="AE363" i="5"/>
  <c r="BF363" i="5"/>
  <c r="AD382" i="5"/>
  <c r="AE382" i="5"/>
  <c r="BF382" i="5"/>
  <c r="AE9" i="5"/>
  <c r="AD9" i="5"/>
  <c r="BF9" i="5"/>
  <c r="BJ68" i="5"/>
  <c r="BK68" i="5"/>
  <c r="AO104" i="4"/>
  <c r="AU104" i="4" s="1"/>
  <c r="AW104" i="4" s="1"/>
  <c r="AE281" i="5"/>
  <c r="BF281" i="5"/>
  <c r="AD281" i="5"/>
  <c r="AD49" i="5"/>
  <c r="AE49" i="5"/>
  <c r="BF49" i="5"/>
  <c r="BF225" i="5"/>
  <c r="AD225" i="5"/>
  <c r="AE225" i="5"/>
  <c r="BF213" i="5"/>
  <c r="AE213" i="5"/>
  <c r="AD213" i="5"/>
  <c r="BF90" i="5"/>
  <c r="AD90" i="5"/>
  <c r="AE90" i="5"/>
  <c r="AE475" i="5"/>
  <c r="AD475" i="5"/>
  <c r="BF475" i="5"/>
  <c r="AD443" i="5"/>
  <c r="BF443" i="5"/>
  <c r="AE443" i="5"/>
  <c r="AD98" i="5"/>
  <c r="BF98" i="5"/>
  <c r="AE98" i="5"/>
  <c r="AE31" i="5"/>
  <c r="AD31" i="5"/>
  <c r="BF31" i="5"/>
  <c r="BF440" i="5"/>
  <c r="AE440" i="5"/>
  <c r="AD440" i="5"/>
  <c r="AE401" i="5"/>
  <c r="BF401" i="5"/>
  <c r="AD401" i="5"/>
  <c r="BF403" i="5"/>
  <c r="AD403" i="5"/>
  <c r="AE403" i="5"/>
  <c r="BF465" i="5"/>
  <c r="AE465" i="5"/>
  <c r="AD465" i="5"/>
  <c r="AD492" i="5"/>
  <c r="AE492" i="5"/>
  <c r="BF492" i="5"/>
  <c r="AD61" i="5"/>
  <c r="AE61" i="5"/>
  <c r="BF61" i="5"/>
  <c r="AD411" i="5"/>
  <c r="AE411" i="5"/>
  <c r="BF411" i="5"/>
  <c r="BF555" i="5"/>
  <c r="AE555" i="5"/>
  <c r="AD555" i="5"/>
  <c r="AD240" i="5"/>
  <c r="AE240" i="5"/>
  <c r="BF240" i="5"/>
  <c r="AD204" i="5"/>
  <c r="AE204" i="5"/>
  <c r="BF204" i="5"/>
  <c r="AE222" i="5"/>
  <c r="AD222" i="5"/>
  <c r="BF222" i="5"/>
  <c r="AE506" i="5"/>
  <c r="AD506" i="5"/>
  <c r="BF506" i="5"/>
  <c r="BF434" i="5"/>
  <c r="AD434" i="5"/>
  <c r="AE434" i="5"/>
  <c r="BF246" i="5"/>
  <c r="AE246" i="5"/>
  <c r="AD246" i="5"/>
  <c r="AE533" i="5"/>
  <c r="BF533" i="5"/>
  <c r="AD533" i="5"/>
  <c r="BF511" i="5"/>
  <c r="AE511" i="5"/>
  <c r="AD511" i="5"/>
  <c r="BF86" i="5"/>
  <c r="AE86" i="5"/>
  <c r="AD86" i="5"/>
  <c r="AD114" i="5"/>
  <c r="AE114" i="5"/>
  <c r="BF114" i="5"/>
  <c r="BF161" i="5"/>
  <c r="AE161" i="5"/>
  <c r="AD161" i="5"/>
  <c r="BF227" i="5"/>
  <c r="AD227" i="5"/>
  <c r="AE227" i="5"/>
  <c r="AD212" i="5"/>
  <c r="BF212" i="5"/>
  <c r="AE212" i="5"/>
  <c r="AD127" i="5"/>
  <c r="BF127" i="5"/>
  <c r="AE127" i="5"/>
  <c r="AE233" i="5"/>
  <c r="AD233" i="5"/>
  <c r="BF233" i="5"/>
  <c r="AO29" i="4"/>
  <c r="AO51" i="4"/>
  <c r="AD76" i="5"/>
  <c r="AE76" i="5"/>
  <c r="BF76" i="5"/>
  <c r="BF166" i="5"/>
  <c r="AE166" i="5"/>
  <c r="AD166" i="5"/>
  <c r="BF507" i="5"/>
  <c r="AE507" i="5"/>
  <c r="AD507" i="5"/>
  <c r="BF51" i="5"/>
  <c r="AE51" i="5"/>
  <c r="AD51" i="5"/>
  <c r="AE83" i="5"/>
  <c r="AD83" i="5"/>
  <c r="BF83" i="5"/>
  <c r="AD236" i="5"/>
  <c r="BF236" i="5"/>
  <c r="AE236" i="5"/>
  <c r="AE93" i="5"/>
  <c r="AD93" i="5"/>
  <c r="BF93" i="5"/>
  <c r="AD474" i="5"/>
  <c r="BF474" i="5"/>
  <c r="AE474" i="5"/>
  <c r="BF191" i="5"/>
  <c r="AD191" i="5"/>
  <c r="AE191" i="5"/>
  <c r="AD203" i="5"/>
  <c r="BF203" i="5"/>
  <c r="AE203" i="5"/>
  <c r="AD486" i="5"/>
  <c r="AE486" i="5"/>
  <c r="BF486" i="5"/>
  <c r="BF95" i="5"/>
  <c r="AD95" i="5"/>
  <c r="AE95" i="5"/>
  <c r="AD333" i="5"/>
  <c r="BF333" i="5"/>
  <c r="AE333" i="5"/>
  <c r="AD545" i="5"/>
  <c r="BF545" i="5"/>
  <c r="AE545" i="5"/>
  <c r="BF378" i="5"/>
  <c r="AE378" i="5"/>
  <c r="AD378" i="5"/>
  <c r="AE67" i="5"/>
  <c r="AD67" i="5"/>
  <c r="BF67" i="5"/>
  <c r="BF275" i="5"/>
  <c r="AE275" i="5"/>
  <c r="AD275" i="5"/>
  <c r="BF151" i="5"/>
  <c r="AE151" i="5"/>
  <c r="AD151" i="5"/>
  <c r="BF483" i="5"/>
  <c r="AE483" i="5"/>
  <c r="AD483" i="5"/>
  <c r="AD25" i="5"/>
  <c r="BF25" i="5"/>
  <c r="AE25" i="5"/>
  <c r="AD433" i="5"/>
  <c r="BF433" i="5"/>
  <c r="AE433" i="5"/>
  <c r="AD199" i="5"/>
  <c r="AE199" i="5"/>
  <c r="BF199" i="5"/>
  <c r="BF472" i="5"/>
  <c r="AE472" i="5"/>
  <c r="AD472" i="5"/>
  <c r="AE211" i="5"/>
  <c r="AD211" i="5"/>
  <c r="BF211" i="5"/>
  <c r="AE471" i="5"/>
  <c r="BF471" i="5"/>
  <c r="AD471" i="5"/>
  <c r="BF241" i="5"/>
  <c r="AE241" i="5"/>
  <c r="AD241" i="5"/>
  <c r="AE469" i="5"/>
  <c r="AD469" i="5"/>
  <c r="BF469" i="5"/>
  <c r="BF174" i="5"/>
  <c r="AE174" i="5"/>
  <c r="AD174" i="5"/>
  <c r="AE484" i="5"/>
  <c r="BF484" i="5"/>
  <c r="AD484" i="5"/>
  <c r="AE546" i="5"/>
  <c r="AD546" i="5"/>
  <c r="BF546" i="5"/>
  <c r="AD244" i="5"/>
  <c r="BF244" i="5"/>
  <c r="AE244" i="5"/>
  <c r="BF75" i="5"/>
  <c r="AE75" i="5"/>
  <c r="AD75" i="5"/>
  <c r="AE137" i="5"/>
  <c r="AD137" i="5"/>
  <c r="BF137" i="5"/>
  <c r="AE328" i="5"/>
  <c r="AD328" i="5"/>
  <c r="BF328" i="5"/>
  <c r="BF110" i="5"/>
  <c r="AD110" i="5"/>
  <c r="AE110" i="5"/>
  <c r="BF500" i="5"/>
  <c r="AE500" i="5"/>
  <c r="AD500" i="5"/>
  <c r="AD164" i="5"/>
  <c r="AE164" i="5"/>
  <c r="BF164" i="5"/>
  <c r="BF554" i="5"/>
  <c r="AD554" i="5"/>
  <c r="AE554" i="5"/>
  <c r="AE329" i="5"/>
  <c r="BF329" i="5"/>
  <c r="AD329" i="5"/>
  <c r="AE195" i="5"/>
  <c r="BF195" i="5"/>
  <c r="AD195" i="5"/>
  <c r="AE349" i="5"/>
  <c r="AD349" i="5"/>
  <c r="BF349" i="5"/>
  <c r="AE339" i="5"/>
  <c r="AD339" i="5"/>
  <c r="BF339" i="5"/>
  <c r="BF417" i="5"/>
  <c r="AD417" i="5"/>
  <c r="AE417" i="5"/>
  <c r="BF262" i="5"/>
  <c r="AE262" i="5"/>
  <c r="AD262" i="5"/>
  <c r="AE412" i="5"/>
  <c r="AD412" i="5"/>
  <c r="BF412" i="5"/>
  <c r="BF495" i="5"/>
  <c r="AD495" i="5"/>
  <c r="AE495" i="5"/>
  <c r="AD394" i="5"/>
  <c r="AE394" i="5"/>
  <c r="BF394" i="5"/>
  <c r="AD229" i="5"/>
  <c r="AE229" i="5"/>
  <c r="BF229" i="5"/>
  <c r="AE99" i="5"/>
  <c r="BF99" i="5"/>
  <c r="AD99" i="5"/>
  <c r="AD159" i="5"/>
  <c r="AE159" i="5"/>
  <c r="BF159" i="5"/>
  <c r="AD523" i="5"/>
  <c r="BF523" i="5"/>
  <c r="AE523" i="5"/>
  <c r="AE532" i="5"/>
  <c r="BF532" i="5"/>
  <c r="AD532" i="5"/>
  <c r="AE237" i="5"/>
  <c r="BF237" i="5"/>
  <c r="AD237" i="5"/>
  <c r="BF274" i="5"/>
  <c r="AE274" i="5"/>
  <c r="AD274" i="5"/>
  <c r="AE359" i="5"/>
  <c r="AD359" i="5"/>
  <c r="BF359" i="5"/>
  <c r="AD136" i="5"/>
  <c r="BF136" i="5"/>
  <c r="AE136" i="5"/>
  <c r="BF548" i="5"/>
  <c r="AE548" i="5"/>
  <c r="AD548" i="5"/>
  <c r="AD189" i="5"/>
  <c r="BF189" i="5"/>
  <c r="AE189" i="5"/>
  <c r="AD146" i="5"/>
  <c r="BF146" i="5"/>
  <c r="AE146" i="5"/>
  <c r="AD169" i="5"/>
  <c r="AE169" i="5"/>
  <c r="BF169" i="5"/>
  <c r="AD520" i="5"/>
  <c r="AE520" i="5"/>
  <c r="BF520" i="5"/>
  <c r="AE310" i="5"/>
  <c r="BF310" i="5"/>
  <c r="AD310" i="5"/>
  <c r="AD59" i="5"/>
  <c r="BF59" i="5"/>
  <c r="AE59" i="5"/>
  <c r="AD39" i="5"/>
  <c r="BF39" i="5"/>
  <c r="AE39" i="5"/>
  <c r="AE496" i="5"/>
  <c r="AD496" i="5"/>
  <c r="BF496" i="5"/>
  <c r="AD517" i="5"/>
  <c r="AE517" i="5"/>
  <c r="BF517" i="5"/>
  <c r="BK372" i="5"/>
  <c r="BJ372" i="5"/>
  <c r="AO39" i="4"/>
  <c r="BK452" i="5"/>
  <c r="BJ452" i="5"/>
  <c r="BF525" i="5"/>
  <c r="AE525" i="5"/>
  <c r="AD525" i="5"/>
  <c r="AO153" i="4"/>
  <c r="AU153" i="4" s="1"/>
  <c r="AW153" i="4" s="1"/>
  <c r="AD170" i="5"/>
  <c r="BF170" i="5"/>
  <c r="AE170" i="5"/>
  <c r="AO83" i="4"/>
  <c r="AU83" i="4" s="1"/>
  <c r="AW83" i="4" s="1"/>
  <c r="BK500" i="5"/>
  <c r="BJ500" i="5"/>
  <c r="AO33" i="4"/>
  <c r="AX11" i="5"/>
  <c r="AY11" i="5"/>
  <c r="AU11" i="5"/>
  <c r="BC11" i="5"/>
  <c r="AV11" i="5"/>
  <c r="AO43" i="4"/>
  <c r="AO119" i="4"/>
  <c r="AU119" i="4" s="1"/>
  <c r="AW119" i="4" s="1"/>
  <c r="BJ504" i="5"/>
  <c r="BK504" i="5"/>
  <c r="AO28" i="4"/>
  <c r="AO58" i="4" l="1"/>
  <c r="AO130" i="4"/>
  <c r="AU130" i="4" s="1"/>
  <c r="AW130" i="4" s="1"/>
  <c r="AU86" i="4"/>
  <c r="AW86" i="4" s="1"/>
  <c r="AO145" i="4"/>
  <c r="AU145" i="4" s="1"/>
  <c r="AW145" i="4" s="1"/>
  <c r="AO76" i="4"/>
  <c r="AU76" i="4" s="1"/>
  <c r="AW76" i="4" s="1"/>
  <c r="AO75" i="4"/>
  <c r="AU75" i="4" s="1"/>
  <c r="AW75" i="4" s="1"/>
  <c r="BH418" i="5"/>
  <c r="BM418" i="5" s="1"/>
  <c r="AU127" i="4"/>
  <c r="AW127" i="4" s="1"/>
  <c r="AU53" i="4"/>
  <c r="AW53" i="4" s="1"/>
  <c r="AU39" i="4"/>
  <c r="AW39" i="4" s="1"/>
  <c r="AU123" i="4"/>
  <c r="AW123" i="4" s="1"/>
  <c r="AU43" i="4"/>
  <c r="AW43" i="4" s="1"/>
  <c r="AU51" i="4"/>
  <c r="AW51" i="4" s="1"/>
  <c r="AU28" i="4"/>
  <c r="AW28" i="4" s="1"/>
  <c r="AU131" i="4"/>
  <c r="AW131" i="4" s="1"/>
  <c r="AU126" i="4"/>
  <c r="AW126" i="4" s="1"/>
  <c r="AU56" i="4"/>
  <c r="AW56" i="4" s="1"/>
  <c r="AU30" i="4"/>
  <c r="AW30" i="4" s="1"/>
  <c r="AU29" i="4"/>
  <c r="AW29" i="4" s="1"/>
  <c r="AU33" i="4"/>
  <c r="AW33" i="4" s="1"/>
  <c r="AU154" i="4"/>
  <c r="AW154" i="4" s="1"/>
  <c r="AU35" i="4"/>
  <c r="AW35" i="4" s="1"/>
  <c r="AU36" i="4"/>
  <c r="AW36" i="4" s="1"/>
  <c r="AU73" i="4"/>
  <c r="AW73" i="4" s="1"/>
  <c r="AU27" i="4"/>
  <c r="AW27" i="4" s="1"/>
  <c r="AU58" i="4"/>
  <c r="AW58" i="4" s="1"/>
  <c r="AU52" i="4"/>
  <c r="AW52" i="4" s="1"/>
  <c r="AU41" i="4"/>
  <c r="AW41" i="4" s="1"/>
  <c r="AU31" i="4"/>
  <c r="AW31" i="4" s="1"/>
  <c r="AU48" i="4"/>
  <c r="AW48" i="4" s="1"/>
  <c r="AU78" i="4"/>
  <c r="AW78" i="4" s="1"/>
  <c r="AU14" i="4"/>
  <c r="AW14" i="4" s="1"/>
  <c r="AU46" i="4"/>
  <c r="AW46" i="4" s="1"/>
  <c r="AO57" i="4"/>
  <c r="AK62" i="4"/>
  <c r="AL62" i="4" s="1"/>
  <c r="AO62" i="4" s="1"/>
  <c r="AU114" i="4"/>
  <c r="AW114" i="4" s="1"/>
  <c r="AU142" i="4"/>
  <c r="AW142" i="4" s="1"/>
  <c r="AU49" i="4"/>
  <c r="AW49" i="4" s="1"/>
  <c r="AU44" i="4"/>
  <c r="AW44" i="4" s="1"/>
  <c r="AU149" i="4"/>
  <c r="AW149" i="4" s="1"/>
  <c r="AU37" i="4"/>
  <c r="AW37" i="4" s="1"/>
  <c r="AU19" i="4"/>
  <c r="AW19" i="4" s="1"/>
  <c r="AU85" i="4"/>
  <c r="AW85" i="4" s="1"/>
  <c r="AK65" i="4"/>
  <c r="AL65" i="4" s="1"/>
  <c r="AO65" i="4" s="1"/>
  <c r="AU134" i="4"/>
  <c r="AW134" i="4" s="1"/>
  <c r="AU21" i="4"/>
  <c r="AW21" i="4" s="1"/>
  <c r="AK55" i="4"/>
  <c r="AL55" i="4" s="1"/>
  <c r="AO55" i="4" s="1"/>
  <c r="AC40" i="4"/>
  <c r="AD40" i="4" s="1"/>
  <c r="AQ40" i="4"/>
  <c r="AP40" i="4"/>
  <c r="AP64" i="4"/>
  <c r="AQ64" i="4"/>
  <c r="AC64" i="4"/>
  <c r="AD64" i="4" s="1"/>
  <c r="AC62" i="4"/>
  <c r="AD62" i="4" s="1"/>
  <c r="AU140" i="4"/>
  <c r="AW140" i="4" s="1"/>
  <c r="AP50" i="4"/>
  <c r="AQ50" i="4"/>
  <c r="AC50" i="4"/>
  <c r="AD50" i="4" s="1"/>
  <c r="AQ42" i="4"/>
  <c r="AP42" i="4"/>
  <c r="AC42" i="4"/>
  <c r="AD42" i="4" s="1"/>
  <c r="AQ45" i="4"/>
  <c r="AP45" i="4"/>
  <c r="AC45" i="4"/>
  <c r="AD45" i="4" s="1"/>
  <c r="AJ54" i="4"/>
  <c r="AA54" i="4"/>
  <c r="AJ57" i="4"/>
  <c r="AA57" i="4"/>
  <c r="AJ61" i="4"/>
  <c r="AA61" i="4"/>
  <c r="AO90" i="4"/>
  <c r="AU90" i="4" s="1"/>
  <c r="AW90" i="4" s="1"/>
  <c r="AJ60" i="4"/>
  <c r="AA60" i="4"/>
  <c r="AK61" i="4"/>
  <c r="AL61" i="4" s="1"/>
  <c r="AO61" i="4" s="1"/>
  <c r="AK54" i="4"/>
  <c r="AL54" i="4" s="1"/>
  <c r="AO54" i="4" s="1"/>
  <c r="AJ63" i="4"/>
  <c r="AA63" i="4"/>
  <c r="AK63" i="4"/>
  <c r="AL63" i="4" s="1"/>
  <c r="AO63" i="4" s="1"/>
  <c r="AJ59" i="4"/>
  <c r="AA59" i="4"/>
  <c r="AA65" i="4"/>
  <c r="AU34" i="4"/>
  <c r="AW34" i="4" s="1"/>
  <c r="AK60" i="4"/>
  <c r="AL60" i="4" s="1"/>
  <c r="AO60" i="4" s="1"/>
  <c r="AQ62" i="4"/>
  <c r="AA55" i="4"/>
  <c r="AQ26" i="4"/>
  <c r="AP26" i="4"/>
  <c r="AC26" i="4"/>
  <c r="AD26" i="4" s="1"/>
  <c r="AU151" i="4"/>
  <c r="AW151" i="4" s="1"/>
  <c r="AC32" i="4"/>
  <c r="AD32" i="4" s="1"/>
  <c r="AQ32" i="4"/>
  <c r="AP32" i="4"/>
  <c r="AU148" i="4"/>
  <c r="AW148" i="4" s="1"/>
  <c r="AU117" i="4"/>
  <c r="AW117" i="4" s="1"/>
  <c r="AU11" i="4"/>
  <c r="AW11" i="4" s="1"/>
  <c r="AU105" i="4"/>
  <c r="AW105" i="4" s="1"/>
  <c r="AU155" i="4"/>
  <c r="AW155" i="4" s="1"/>
  <c r="AU141" i="4"/>
  <c r="AW141" i="4" s="1"/>
  <c r="AU13" i="4"/>
  <c r="AW13" i="4" s="1"/>
  <c r="AO124" i="4"/>
  <c r="AU124" i="4" s="1"/>
  <c r="AW124" i="4" s="1"/>
  <c r="AU10" i="4"/>
  <c r="AW10" i="4" s="1"/>
  <c r="AU129" i="4"/>
  <c r="AW129" i="4" s="1"/>
  <c r="AU106" i="4"/>
  <c r="AW106" i="4" s="1"/>
  <c r="AU110" i="4"/>
  <c r="AW110" i="4" s="1"/>
  <c r="AU133" i="4"/>
  <c r="AW133" i="4" s="1"/>
  <c r="AO94" i="4"/>
  <c r="AU94" i="4" s="1"/>
  <c r="AW94" i="4" s="1"/>
  <c r="AO101" i="4"/>
  <c r="AU101" i="4" s="1"/>
  <c r="AW101" i="4" s="1"/>
  <c r="AU122" i="4"/>
  <c r="AW122" i="4" s="1"/>
  <c r="AU74" i="4"/>
  <c r="AW74" i="4" s="1"/>
  <c r="AU152" i="4"/>
  <c r="AW152" i="4" s="1"/>
  <c r="AU108" i="4"/>
  <c r="AW108" i="4" s="1"/>
  <c r="AU109" i="4"/>
  <c r="AW109" i="4" s="1"/>
  <c r="AU97" i="4"/>
  <c r="AW97" i="4" s="1"/>
  <c r="AU118" i="4"/>
  <c r="AW118" i="4" s="1"/>
  <c r="AU69" i="4"/>
  <c r="AW69" i="4" s="1"/>
  <c r="AU93" i="4"/>
  <c r="AW93" i="4" s="1"/>
  <c r="AU144" i="4"/>
  <c r="AW144" i="4" s="1"/>
  <c r="AU112" i="4"/>
  <c r="AW112" i="4" s="1"/>
  <c r="AU25" i="4"/>
  <c r="AW25" i="4" s="1"/>
  <c r="AU24" i="4"/>
  <c r="AW24" i="4" s="1"/>
  <c r="AU12" i="4"/>
  <c r="AW12" i="4" s="1"/>
  <c r="AD11" i="5"/>
  <c r="AU135" i="4"/>
  <c r="AW135" i="4" s="1"/>
  <c r="AU18" i="4"/>
  <c r="AW18" i="4" s="1"/>
  <c r="AU125" i="4"/>
  <c r="AW125" i="4" s="1"/>
  <c r="AU95" i="4"/>
  <c r="AW95" i="4" s="1"/>
  <c r="AU22" i="4"/>
  <c r="AW22" i="4" s="1"/>
  <c r="AU92" i="4"/>
  <c r="AW92" i="4" s="1"/>
  <c r="AU136" i="4"/>
  <c r="AW136" i="4" s="1"/>
  <c r="AU16" i="4"/>
  <c r="AW16" i="4" s="1"/>
  <c r="AU156" i="4"/>
  <c r="AW156" i="4" s="1"/>
  <c r="AU89" i="4"/>
  <c r="AW89" i="4" s="1"/>
  <c r="AU113" i="4"/>
  <c r="AW113" i="4" s="1"/>
  <c r="AO59" i="4"/>
  <c r="AU20" i="4"/>
  <c r="AW20" i="4" s="1"/>
  <c r="AO137" i="4"/>
  <c r="AU137" i="4" s="1"/>
  <c r="AW137" i="4" s="1"/>
  <c r="AU8" i="4"/>
  <c r="AW8" i="4" s="1"/>
  <c r="AU102" i="4"/>
  <c r="AW102" i="4" s="1"/>
  <c r="AU81" i="4"/>
  <c r="AW81" i="4" s="1"/>
  <c r="AU79" i="4"/>
  <c r="AW79" i="4" s="1"/>
  <c r="AU82" i="4"/>
  <c r="AW82" i="4" s="1"/>
  <c r="AO66" i="4"/>
  <c r="AU66" i="4" s="1"/>
  <c r="AW66" i="4" s="1"/>
  <c r="AU98" i="4"/>
  <c r="AW98" i="4" s="1"/>
  <c r="AU128" i="4"/>
  <c r="AW128" i="4" s="1"/>
  <c r="AU67" i="4"/>
  <c r="AW67" i="4" s="1"/>
  <c r="AU143" i="4"/>
  <c r="AW143" i="4" s="1"/>
  <c r="AU77" i="4"/>
  <c r="AW77" i="4" s="1"/>
  <c r="AU116" i="4"/>
  <c r="AW116" i="4" s="1"/>
  <c r="AU111" i="4"/>
  <c r="AW111" i="4" s="1"/>
  <c r="AU23" i="4"/>
  <c r="AW23" i="4" s="1"/>
  <c r="AU7" i="4"/>
  <c r="AW7" i="4" s="1"/>
  <c r="AU121" i="4"/>
  <c r="AW121" i="4" s="1"/>
  <c r="AU15" i="4"/>
  <c r="AW15" i="4" s="1"/>
  <c r="AU9" i="4"/>
  <c r="AW9" i="4" s="1"/>
  <c r="AU96" i="4"/>
  <c r="AW96" i="4" s="1"/>
  <c r="BH170" i="5"/>
  <c r="BM170" i="5" s="1"/>
  <c r="BG170" i="5"/>
  <c r="BL170" i="5" s="1"/>
  <c r="BH237" i="5"/>
  <c r="BM237" i="5" s="1"/>
  <c r="BG237" i="5"/>
  <c r="BL237" i="5" s="1"/>
  <c r="BH262" i="5"/>
  <c r="BM262" i="5" s="1"/>
  <c r="BG262" i="5"/>
  <c r="BL262" i="5" s="1"/>
  <c r="BG500" i="5"/>
  <c r="BL500" i="5" s="1"/>
  <c r="BH500" i="5"/>
  <c r="BM500" i="5" s="1"/>
  <c r="BG244" i="5"/>
  <c r="BL244" i="5" s="1"/>
  <c r="BH244" i="5"/>
  <c r="BM244" i="5" s="1"/>
  <c r="BG241" i="5"/>
  <c r="BL241" i="5" s="1"/>
  <c r="BH241" i="5"/>
  <c r="BM241" i="5" s="1"/>
  <c r="BG211" i="5"/>
  <c r="BL211" i="5" s="1"/>
  <c r="BH211" i="5"/>
  <c r="BM211" i="5" s="1"/>
  <c r="BG151" i="5"/>
  <c r="BL151" i="5" s="1"/>
  <c r="BH151" i="5"/>
  <c r="BM151" i="5" s="1"/>
  <c r="BG67" i="5"/>
  <c r="BL67" i="5" s="1"/>
  <c r="BH67" i="5"/>
  <c r="BM67" i="5" s="1"/>
  <c r="BG166" i="5"/>
  <c r="BL166" i="5" s="1"/>
  <c r="BH166" i="5"/>
  <c r="BM166" i="5" s="1"/>
  <c r="BG233" i="5"/>
  <c r="BL233" i="5" s="1"/>
  <c r="BH233" i="5"/>
  <c r="BM233" i="5" s="1"/>
  <c r="BG127" i="5"/>
  <c r="BL127" i="5" s="1"/>
  <c r="BH127" i="5"/>
  <c r="BM127" i="5" s="1"/>
  <c r="BH86" i="5"/>
  <c r="BM86" i="5" s="1"/>
  <c r="BG86" i="5"/>
  <c r="BL86" i="5" s="1"/>
  <c r="BH434" i="5"/>
  <c r="BM434" i="5" s="1"/>
  <c r="BG434" i="5"/>
  <c r="BL434" i="5" s="1"/>
  <c r="BG222" i="5"/>
  <c r="BL222" i="5" s="1"/>
  <c r="BH222" i="5"/>
  <c r="BM222" i="5" s="1"/>
  <c r="BG411" i="5"/>
  <c r="BL411" i="5" s="1"/>
  <c r="BH411" i="5"/>
  <c r="BM411" i="5" s="1"/>
  <c r="BG401" i="5"/>
  <c r="BL401" i="5" s="1"/>
  <c r="BH401" i="5"/>
  <c r="BM401" i="5" s="1"/>
  <c r="BH440" i="5"/>
  <c r="BM440" i="5" s="1"/>
  <c r="BG440" i="5"/>
  <c r="BL440" i="5" s="1"/>
  <c r="BG443" i="5"/>
  <c r="BL443" i="5" s="1"/>
  <c r="BH443" i="5"/>
  <c r="BM443" i="5" s="1"/>
  <c r="BH313" i="5"/>
  <c r="BM313" i="5" s="1"/>
  <c r="BG313" i="5"/>
  <c r="BL313" i="5" s="1"/>
  <c r="BG224" i="5"/>
  <c r="BL224" i="5" s="1"/>
  <c r="BH224" i="5"/>
  <c r="BM224" i="5" s="1"/>
  <c r="BG24" i="5"/>
  <c r="BL24" i="5" s="1"/>
  <c r="BH24" i="5"/>
  <c r="BM24" i="5" s="1"/>
  <c r="BG131" i="5"/>
  <c r="BL131" i="5" s="1"/>
  <c r="BH131" i="5"/>
  <c r="BM131" i="5" s="1"/>
  <c r="BH108" i="5"/>
  <c r="BM108" i="5" s="1"/>
  <c r="BG108" i="5"/>
  <c r="BL108" i="5" s="1"/>
  <c r="BH84" i="5"/>
  <c r="BM84" i="5" s="1"/>
  <c r="BG84" i="5"/>
  <c r="BL84" i="5" s="1"/>
  <c r="BG30" i="5"/>
  <c r="BL30" i="5" s="1"/>
  <c r="BH30" i="5"/>
  <c r="BM30" i="5" s="1"/>
  <c r="BH451" i="5"/>
  <c r="BM451" i="5" s="1"/>
  <c r="BG451" i="5"/>
  <c r="BL451" i="5" s="1"/>
  <c r="BH123" i="5"/>
  <c r="BM123" i="5" s="1"/>
  <c r="BG123" i="5"/>
  <c r="BL123" i="5" s="1"/>
  <c r="BH350" i="5"/>
  <c r="BM350" i="5" s="1"/>
  <c r="BG350" i="5"/>
  <c r="BL350" i="5" s="1"/>
  <c r="BH444" i="5"/>
  <c r="BM444" i="5" s="1"/>
  <c r="BG444" i="5"/>
  <c r="BL444" i="5" s="1"/>
  <c r="BG306" i="5"/>
  <c r="BL306" i="5" s="1"/>
  <c r="BH306" i="5"/>
  <c r="BM306" i="5" s="1"/>
  <c r="BH530" i="5"/>
  <c r="BM530" i="5" s="1"/>
  <c r="BG530" i="5"/>
  <c r="BL530" i="5" s="1"/>
  <c r="BH155" i="5"/>
  <c r="BM155" i="5" s="1"/>
  <c r="BG155" i="5"/>
  <c r="BL155" i="5" s="1"/>
  <c r="BH323" i="5"/>
  <c r="BM323" i="5" s="1"/>
  <c r="BG323" i="5"/>
  <c r="BL323" i="5" s="1"/>
  <c r="BH346" i="5"/>
  <c r="BM346" i="5" s="1"/>
  <c r="BG346" i="5"/>
  <c r="BL346" i="5" s="1"/>
  <c r="BG301" i="5"/>
  <c r="BL301" i="5" s="1"/>
  <c r="BH301" i="5"/>
  <c r="BM301" i="5" s="1"/>
  <c r="BG458" i="5"/>
  <c r="BL458" i="5" s="1"/>
  <c r="BH458" i="5"/>
  <c r="BM458" i="5" s="1"/>
  <c r="BH181" i="5"/>
  <c r="BM181" i="5" s="1"/>
  <c r="BG181" i="5"/>
  <c r="BL181" i="5" s="1"/>
  <c r="BG198" i="5"/>
  <c r="BL198" i="5" s="1"/>
  <c r="BH198" i="5"/>
  <c r="BM198" i="5" s="1"/>
  <c r="BH89" i="5"/>
  <c r="BM89" i="5" s="1"/>
  <c r="BG89" i="5"/>
  <c r="BL89" i="5" s="1"/>
  <c r="BG177" i="5"/>
  <c r="BL177" i="5" s="1"/>
  <c r="BH177" i="5"/>
  <c r="BM177" i="5" s="1"/>
  <c r="BG427" i="5"/>
  <c r="BL427" i="5" s="1"/>
  <c r="BH427" i="5"/>
  <c r="BM427" i="5" s="1"/>
  <c r="BG539" i="5"/>
  <c r="BL539" i="5" s="1"/>
  <c r="BH539" i="5"/>
  <c r="BM539" i="5" s="1"/>
  <c r="BG450" i="5"/>
  <c r="BL450" i="5" s="1"/>
  <c r="BH450" i="5"/>
  <c r="BM450" i="5" s="1"/>
  <c r="BH120" i="5"/>
  <c r="BM120" i="5" s="1"/>
  <c r="BG120" i="5"/>
  <c r="BL120" i="5" s="1"/>
  <c r="BH488" i="5"/>
  <c r="BM488" i="5" s="1"/>
  <c r="BG488" i="5"/>
  <c r="BL488" i="5" s="1"/>
  <c r="BG234" i="5"/>
  <c r="BL234" i="5" s="1"/>
  <c r="BH234" i="5"/>
  <c r="BM234" i="5" s="1"/>
  <c r="BH558" i="5"/>
  <c r="BM558" i="5" s="1"/>
  <c r="BG558" i="5"/>
  <c r="BL558" i="5" s="1"/>
  <c r="BH238" i="5"/>
  <c r="BM238" i="5" s="1"/>
  <c r="BG238" i="5"/>
  <c r="BL238" i="5" s="1"/>
  <c r="BH461" i="5"/>
  <c r="BM461" i="5" s="1"/>
  <c r="BG461" i="5"/>
  <c r="BL461" i="5" s="1"/>
  <c r="BH190" i="5"/>
  <c r="BM190" i="5" s="1"/>
  <c r="BG190" i="5"/>
  <c r="BL190" i="5" s="1"/>
  <c r="BH118" i="5"/>
  <c r="BM118" i="5" s="1"/>
  <c r="BG118" i="5"/>
  <c r="BL118" i="5" s="1"/>
  <c r="BH397" i="5"/>
  <c r="BM397" i="5" s="1"/>
  <c r="BG397" i="5"/>
  <c r="BL397" i="5" s="1"/>
  <c r="BH22" i="5"/>
  <c r="BM22" i="5" s="1"/>
  <c r="BG22" i="5"/>
  <c r="BL22" i="5" s="1"/>
  <c r="BG269" i="5"/>
  <c r="BL269" i="5" s="1"/>
  <c r="BH269" i="5"/>
  <c r="BM269" i="5" s="1"/>
  <c r="BH320" i="5"/>
  <c r="BM320" i="5" s="1"/>
  <c r="BG320" i="5"/>
  <c r="BL320" i="5" s="1"/>
  <c r="BG132" i="5"/>
  <c r="BL132" i="5" s="1"/>
  <c r="BH132" i="5"/>
  <c r="BM132" i="5" s="1"/>
  <c r="BG214" i="5"/>
  <c r="BL214" i="5" s="1"/>
  <c r="BH214" i="5"/>
  <c r="BM214" i="5" s="1"/>
  <c r="BG125" i="5"/>
  <c r="BL125" i="5" s="1"/>
  <c r="BH125" i="5"/>
  <c r="BM125" i="5" s="1"/>
  <c r="BG377" i="5"/>
  <c r="BL377" i="5" s="1"/>
  <c r="BH377" i="5"/>
  <c r="BM377" i="5" s="1"/>
  <c r="BG419" i="5"/>
  <c r="BL419" i="5" s="1"/>
  <c r="BH419" i="5"/>
  <c r="BM419" i="5" s="1"/>
  <c r="BH540" i="5"/>
  <c r="BM540" i="5" s="1"/>
  <c r="BG540" i="5"/>
  <c r="BL540" i="5" s="1"/>
  <c r="BG357" i="5"/>
  <c r="BL357" i="5" s="1"/>
  <c r="BH357" i="5"/>
  <c r="BM357" i="5" s="1"/>
  <c r="BH294" i="5"/>
  <c r="BM294" i="5" s="1"/>
  <c r="BG294" i="5"/>
  <c r="BL294" i="5" s="1"/>
  <c r="BG337" i="5"/>
  <c r="BL337" i="5" s="1"/>
  <c r="BH337" i="5"/>
  <c r="BM337" i="5" s="1"/>
  <c r="BH441" i="5"/>
  <c r="BM441" i="5" s="1"/>
  <c r="BG441" i="5"/>
  <c r="BL441" i="5" s="1"/>
  <c r="BH537" i="5"/>
  <c r="BM537" i="5" s="1"/>
  <c r="BG537" i="5"/>
  <c r="BL537" i="5" s="1"/>
  <c r="BG369" i="5"/>
  <c r="BL369" i="5" s="1"/>
  <c r="BH369" i="5"/>
  <c r="BM369" i="5" s="1"/>
  <c r="BH560" i="5"/>
  <c r="BM560" i="5" s="1"/>
  <c r="BG560" i="5"/>
  <c r="BL560" i="5" s="1"/>
  <c r="BG518" i="5"/>
  <c r="BL518" i="5" s="1"/>
  <c r="BH518" i="5"/>
  <c r="BM518" i="5" s="1"/>
  <c r="BG249" i="5"/>
  <c r="BL249" i="5" s="1"/>
  <c r="BH249" i="5"/>
  <c r="BM249" i="5" s="1"/>
  <c r="BH494" i="5"/>
  <c r="BM494" i="5" s="1"/>
  <c r="BG494" i="5"/>
  <c r="BL494" i="5" s="1"/>
  <c r="BH239" i="5"/>
  <c r="BM239" i="5" s="1"/>
  <c r="BG239" i="5"/>
  <c r="BL239" i="5" s="1"/>
  <c r="BH398" i="5"/>
  <c r="BM398" i="5" s="1"/>
  <c r="BG398" i="5"/>
  <c r="BL398" i="5" s="1"/>
  <c r="BG340" i="5"/>
  <c r="BL340" i="5" s="1"/>
  <c r="BH340" i="5"/>
  <c r="BM340" i="5" s="1"/>
  <c r="BG365" i="5"/>
  <c r="BL365" i="5" s="1"/>
  <c r="BH365" i="5"/>
  <c r="BM365" i="5" s="1"/>
  <c r="BH263" i="5"/>
  <c r="BM263" i="5" s="1"/>
  <c r="BG263" i="5"/>
  <c r="BL263" i="5" s="1"/>
  <c r="BG285" i="5"/>
  <c r="BL285" i="5" s="1"/>
  <c r="BH285" i="5"/>
  <c r="BM285" i="5" s="1"/>
  <c r="BH476" i="5"/>
  <c r="BM476" i="5" s="1"/>
  <c r="BG476" i="5"/>
  <c r="BL476" i="5" s="1"/>
  <c r="BG307" i="5"/>
  <c r="BL307" i="5" s="1"/>
  <c r="BH307" i="5"/>
  <c r="BM307" i="5" s="1"/>
  <c r="BG435" i="5"/>
  <c r="BL435" i="5" s="1"/>
  <c r="BH435" i="5"/>
  <c r="BM435" i="5" s="1"/>
  <c r="BG171" i="5"/>
  <c r="BL171" i="5" s="1"/>
  <c r="BH171" i="5"/>
  <c r="BM171" i="5" s="1"/>
  <c r="BH557" i="5"/>
  <c r="BM557" i="5" s="1"/>
  <c r="BG557" i="5"/>
  <c r="BL557" i="5" s="1"/>
  <c r="BG420" i="5"/>
  <c r="BL420" i="5" s="1"/>
  <c r="BH420" i="5"/>
  <c r="BM420" i="5" s="1"/>
  <c r="BG425" i="5"/>
  <c r="BL425" i="5" s="1"/>
  <c r="BH425" i="5"/>
  <c r="BM425" i="5" s="1"/>
  <c r="BG220" i="5"/>
  <c r="BL220" i="5" s="1"/>
  <c r="BH220" i="5"/>
  <c r="BM220" i="5" s="1"/>
  <c r="BG41" i="5"/>
  <c r="BL41" i="5" s="1"/>
  <c r="BH41" i="5"/>
  <c r="BM41" i="5" s="1"/>
  <c r="BG556" i="5"/>
  <c r="BL556" i="5" s="1"/>
  <c r="BH556" i="5"/>
  <c r="BM556" i="5" s="1"/>
  <c r="BG284" i="5"/>
  <c r="BL284" i="5" s="1"/>
  <c r="BH284" i="5"/>
  <c r="BM284" i="5" s="1"/>
  <c r="BH63" i="5"/>
  <c r="BM63" i="5" s="1"/>
  <c r="BG63" i="5"/>
  <c r="BL63" i="5" s="1"/>
  <c r="BG366" i="5"/>
  <c r="BL366" i="5" s="1"/>
  <c r="BH366" i="5"/>
  <c r="BM366" i="5" s="1"/>
  <c r="BG327" i="5"/>
  <c r="BL327" i="5" s="1"/>
  <c r="BH327" i="5"/>
  <c r="BM327" i="5" s="1"/>
  <c r="BH72" i="5"/>
  <c r="BM72" i="5" s="1"/>
  <c r="BG72" i="5"/>
  <c r="BL72" i="5" s="1"/>
  <c r="BG160" i="5"/>
  <c r="BL160" i="5" s="1"/>
  <c r="BH160" i="5"/>
  <c r="BM160" i="5" s="1"/>
  <c r="BH524" i="5"/>
  <c r="BM524" i="5" s="1"/>
  <c r="BG524" i="5"/>
  <c r="BL524" i="5" s="1"/>
  <c r="BH135" i="5"/>
  <c r="BM135" i="5" s="1"/>
  <c r="BG135" i="5"/>
  <c r="BL135" i="5" s="1"/>
  <c r="BG312" i="5"/>
  <c r="BL312" i="5" s="1"/>
  <c r="BH312" i="5"/>
  <c r="BM312" i="5" s="1"/>
  <c r="BH102" i="5"/>
  <c r="BM102" i="5" s="1"/>
  <c r="BG102" i="5"/>
  <c r="BL102" i="5" s="1"/>
  <c r="BH467" i="5"/>
  <c r="BM467" i="5" s="1"/>
  <c r="BG467" i="5"/>
  <c r="BL467" i="5" s="1"/>
  <c r="BH464" i="5"/>
  <c r="BM464" i="5" s="1"/>
  <c r="BG464" i="5"/>
  <c r="BL464" i="5" s="1"/>
  <c r="BH387" i="5"/>
  <c r="BM387" i="5" s="1"/>
  <c r="BG387" i="5"/>
  <c r="BL387" i="5" s="1"/>
  <c r="BG116" i="5"/>
  <c r="BL116" i="5" s="1"/>
  <c r="BH116" i="5"/>
  <c r="BM116" i="5" s="1"/>
  <c r="BH528" i="5"/>
  <c r="BM528" i="5" s="1"/>
  <c r="BG528" i="5"/>
  <c r="BL528" i="5" s="1"/>
  <c r="BH300" i="5"/>
  <c r="BM300" i="5" s="1"/>
  <c r="BG300" i="5"/>
  <c r="BL300" i="5" s="1"/>
  <c r="BG42" i="5"/>
  <c r="BL42" i="5" s="1"/>
  <c r="BH42" i="5"/>
  <c r="BM42" i="5" s="1"/>
  <c r="BG242" i="5"/>
  <c r="BL242" i="5" s="1"/>
  <c r="BH242" i="5"/>
  <c r="BM242" i="5" s="1"/>
  <c r="BG447" i="5"/>
  <c r="BL447" i="5" s="1"/>
  <c r="BH447" i="5"/>
  <c r="BM447" i="5" s="1"/>
  <c r="BG35" i="5"/>
  <c r="BL35" i="5" s="1"/>
  <c r="BH35" i="5"/>
  <c r="BM35" i="5" s="1"/>
  <c r="BG188" i="5"/>
  <c r="BL188" i="5" s="1"/>
  <c r="BH188" i="5"/>
  <c r="BM188" i="5" s="1"/>
  <c r="BG219" i="5"/>
  <c r="BL219" i="5" s="1"/>
  <c r="BH219" i="5"/>
  <c r="BM219" i="5" s="1"/>
  <c r="BG54" i="5"/>
  <c r="BL54" i="5" s="1"/>
  <c r="BH54" i="5"/>
  <c r="BM54" i="5" s="1"/>
  <c r="BG481" i="5"/>
  <c r="BL481" i="5" s="1"/>
  <c r="BH481" i="5"/>
  <c r="BM481" i="5" s="1"/>
  <c r="BG538" i="5"/>
  <c r="BL538" i="5" s="1"/>
  <c r="BH538" i="5"/>
  <c r="BM538" i="5" s="1"/>
  <c r="BH370" i="5"/>
  <c r="BM370" i="5" s="1"/>
  <c r="BG370" i="5"/>
  <c r="BL370" i="5" s="1"/>
  <c r="BG144" i="5"/>
  <c r="BL144" i="5" s="1"/>
  <c r="BH144" i="5"/>
  <c r="BM144" i="5" s="1"/>
  <c r="BH413" i="5"/>
  <c r="BM413" i="5" s="1"/>
  <c r="BG413" i="5"/>
  <c r="BL413" i="5" s="1"/>
  <c r="BG456" i="5"/>
  <c r="BL456" i="5" s="1"/>
  <c r="BH456" i="5"/>
  <c r="BM456" i="5" s="1"/>
  <c r="BG48" i="5"/>
  <c r="BL48" i="5" s="1"/>
  <c r="BH48" i="5"/>
  <c r="BM48" i="5" s="1"/>
  <c r="BH493" i="5"/>
  <c r="BM493" i="5" s="1"/>
  <c r="BG493" i="5"/>
  <c r="BL493" i="5" s="1"/>
  <c r="BH388" i="5"/>
  <c r="BM388" i="5" s="1"/>
  <c r="BG388" i="5"/>
  <c r="BL388" i="5" s="1"/>
  <c r="BG295" i="5"/>
  <c r="BL295" i="5" s="1"/>
  <c r="BH295" i="5"/>
  <c r="BM295" i="5" s="1"/>
  <c r="BH253" i="5"/>
  <c r="BM253" i="5" s="1"/>
  <c r="BG253" i="5"/>
  <c r="BL253" i="5" s="1"/>
  <c r="BG544" i="5"/>
  <c r="BL544" i="5" s="1"/>
  <c r="BH544" i="5"/>
  <c r="BM544" i="5" s="1"/>
  <c r="BG210" i="5"/>
  <c r="BL210" i="5" s="1"/>
  <c r="BH210" i="5"/>
  <c r="BM210" i="5" s="1"/>
  <c r="BH232" i="5"/>
  <c r="BM232" i="5" s="1"/>
  <c r="BG232" i="5"/>
  <c r="BL232" i="5" s="1"/>
  <c r="BG318" i="5"/>
  <c r="BL318" i="5" s="1"/>
  <c r="BH318" i="5"/>
  <c r="BM318" i="5" s="1"/>
  <c r="BH516" i="5"/>
  <c r="BM516" i="5" s="1"/>
  <c r="BG516" i="5"/>
  <c r="BL516" i="5" s="1"/>
  <c r="BH20" i="5"/>
  <c r="BM20" i="5" s="1"/>
  <c r="BG20" i="5"/>
  <c r="BL20" i="5" s="1"/>
  <c r="BH182" i="5"/>
  <c r="BM182" i="5" s="1"/>
  <c r="BG182" i="5"/>
  <c r="BL182" i="5" s="1"/>
  <c r="BH470" i="5"/>
  <c r="BM470" i="5" s="1"/>
  <c r="BG470" i="5"/>
  <c r="BL470" i="5" s="1"/>
  <c r="BH383" i="5"/>
  <c r="BM383" i="5" s="1"/>
  <c r="BG383" i="5"/>
  <c r="BL383" i="5" s="1"/>
  <c r="BH479" i="5"/>
  <c r="BM479" i="5" s="1"/>
  <c r="BG479" i="5"/>
  <c r="BL479" i="5" s="1"/>
  <c r="BG297" i="5"/>
  <c r="BL297" i="5" s="1"/>
  <c r="BH297" i="5"/>
  <c r="BM297" i="5" s="1"/>
  <c r="BH103" i="5"/>
  <c r="BM103" i="5" s="1"/>
  <c r="BG103" i="5"/>
  <c r="BL103" i="5" s="1"/>
  <c r="BH361" i="5"/>
  <c r="BM361" i="5" s="1"/>
  <c r="BG361" i="5"/>
  <c r="BL361" i="5" s="1"/>
  <c r="BG52" i="5"/>
  <c r="BL52" i="5" s="1"/>
  <c r="BH52" i="5"/>
  <c r="BM52" i="5" s="1"/>
  <c r="BH436" i="5"/>
  <c r="BM436" i="5" s="1"/>
  <c r="BG436" i="5"/>
  <c r="BL436" i="5" s="1"/>
  <c r="BG197" i="5"/>
  <c r="BL197" i="5" s="1"/>
  <c r="BH197" i="5"/>
  <c r="BM197" i="5" s="1"/>
  <c r="BG101" i="5"/>
  <c r="BL101" i="5" s="1"/>
  <c r="BH101" i="5"/>
  <c r="BM101" i="5" s="1"/>
  <c r="BG496" i="5"/>
  <c r="BL496" i="5" s="1"/>
  <c r="BH496" i="5"/>
  <c r="BM496" i="5" s="1"/>
  <c r="BG159" i="5"/>
  <c r="BL159" i="5" s="1"/>
  <c r="BH159" i="5"/>
  <c r="BM159" i="5" s="1"/>
  <c r="BG339" i="5"/>
  <c r="BL339" i="5" s="1"/>
  <c r="BH339" i="5"/>
  <c r="BM339" i="5" s="1"/>
  <c r="BG328" i="5"/>
  <c r="BL328" i="5" s="1"/>
  <c r="BH328" i="5"/>
  <c r="BM328" i="5" s="1"/>
  <c r="BD11" i="5"/>
  <c r="BE11" i="5"/>
  <c r="BG310" i="5"/>
  <c r="BL310" i="5" s="1"/>
  <c r="BH310" i="5"/>
  <c r="BM310" i="5" s="1"/>
  <c r="BG189" i="5"/>
  <c r="BL189" i="5" s="1"/>
  <c r="BH189" i="5"/>
  <c r="BM189" i="5" s="1"/>
  <c r="BG548" i="5"/>
  <c r="BL548" i="5" s="1"/>
  <c r="BH548" i="5"/>
  <c r="BM548" i="5" s="1"/>
  <c r="BG359" i="5"/>
  <c r="BL359" i="5" s="1"/>
  <c r="BH359" i="5"/>
  <c r="BM359" i="5" s="1"/>
  <c r="BG394" i="5"/>
  <c r="BL394" i="5" s="1"/>
  <c r="BH394" i="5"/>
  <c r="BM394" i="5" s="1"/>
  <c r="BG472" i="5"/>
  <c r="BL472" i="5" s="1"/>
  <c r="BH472" i="5"/>
  <c r="BM472" i="5" s="1"/>
  <c r="BG25" i="5"/>
  <c r="BL25" i="5" s="1"/>
  <c r="BH25" i="5"/>
  <c r="BM25" i="5" s="1"/>
  <c r="BG483" i="5"/>
  <c r="BL483" i="5" s="1"/>
  <c r="BH483" i="5"/>
  <c r="BM483" i="5" s="1"/>
  <c r="BH378" i="5"/>
  <c r="BM378" i="5" s="1"/>
  <c r="BG378" i="5"/>
  <c r="BL378" i="5" s="1"/>
  <c r="BH474" i="5"/>
  <c r="BM474" i="5" s="1"/>
  <c r="BG474" i="5"/>
  <c r="BL474" i="5" s="1"/>
  <c r="BH83" i="5"/>
  <c r="BM83" i="5" s="1"/>
  <c r="BG83" i="5"/>
  <c r="BL83" i="5" s="1"/>
  <c r="BH507" i="5"/>
  <c r="BM507" i="5" s="1"/>
  <c r="BG507" i="5"/>
  <c r="BL507" i="5" s="1"/>
  <c r="BG76" i="5"/>
  <c r="BL76" i="5" s="1"/>
  <c r="BH76" i="5"/>
  <c r="BM76" i="5" s="1"/>
  <c r="BH533" i="5"/>
  <c r="BM533" i="5" s="1"/>
  <c r="BG533" i="5"/>
  <c r="BL533" i="5" s="1"/>
  <c r="BG246" i="5"/>
  <c r="BL246" i="5" s="1"/>
  <c r="BH246" i="5"/>
  <c r="BM246" i="5" s="1"/>
  <c r="BG506" i="5"/>
  <c r="BL506" i="5" s="1"/>
  <c r="BH506" i="5"/>
  <c r="BM506" i="5" s="1"/>
  <c r="BG31" i="5"/>
  <c r="BL31" i="5" s="1"/>
  <c r="BH31" i="5"/>
  <c r="BM31" i="5" s="1"/>
  <c r="BG98" i="5"/>
  <c r="BL98" i="5" s="1"/>
  <c r="BH98" i="5"/>
  <c r="BM98" i="5" s="1"/>
  <c r="BG225" i="5"/>
  <c r="BL225" i="5" s="1"/>
  <c r="BH225" i="5"/>
  <c r="BM225" i="5" s="1"/>
  <c r="BH363" i="5"/>
  <c r="BM363" i="5" s="1"/>
  <c r="BG363" i="5"/>
  <c r="BL363" i="5" s="1"/>
  <c r="BH226" i="5"/>
  <c r="BM226" i="5" s="1"/>
  <c r="BG226" i="5"/>
  <c r="BL226" i="5" s="1"/>
  <c r="BG550" i="5"/>
  <c r="BL550" i="5" s="1"/>
  <c r="BH550" i="5"/>
  <c r="BM550" i="5" s="1"/>
  <c r="BH489" i="5"/>
  <c r="BM489" i="5" s="1"/>
  <c r="BG489" i="5"/>
  <c r="BL489" i="5" s="1"/>
  <c r="BH438" i="5"/>
  <c r="BM438" i="5" s="1"/>
  <c r="BG438" i="5"/>
  <c r="BL438" i="5" s="1"/>
  <c r="BH466" i="5"/>
  <c r="BM466" i="5" s="1"/>
  <c r="BG466" i="5"/>
  <c r="BL466" i="5" s="1"/>
  <c r="AQ11" i="5"/>
  <c r="BI11" i="5"/>
  <c r="AR11" i="5"/>
  <c r="BH527" i="5"/>
  <c r="BM527" i="5" s="1"/>
  <c r="BG527" i="5"/>
  <c r="BL527" i="5" s="1"/>
  <c r="BG302" i="5"/>
  <c r="BL302" i="5" s="1"/>
  <c r="BH302" i="5"/>
  <c r="BM302" i="5" s="1"/>
  <c r="BH78" i="5"/>
  <c r="BM78" i="5" s="1"/>
  <c r="BG78" i="5"/>
  <c r="BL78" i="5" s="1"/>
  <c r="BH82" i="5"/>
  <c r="BM82" i="5" s="1"/>
  <c r="BG82" i="5"/>
  <c r="BL82" i="5" s="1"/>
  <c r="BH353" i="5"/>
  <c r="BM353" i="5" s="1"/>
  <c r="BG353" i="5"/>
  <c r="BL353" i="5" s="1"/>
  <c r="BG209" i="5"/>
  <c r="BL209" i="5" s="1"/>
  <c r="BH209" i="5"/>
  <c r="BM209" i="5" s="1"/>
  <c r="BH19" i="5"/>
  <c r="BM19" i="5" s="1"/>
  <c r="BG19" i="5"/>
  <c r="BL19" i="5" s="1"/>
  <c r="BG374" i="5"/>
  <c r="BL374" i="5" s="1"/>
  <c r="BH374" i="5"/>
  <c r="BM374" i="5" s="1"/>
  <c r="BH105" i="5"/>
  <c r="BM105" i="5" s="1"/>
  <c r="BG105" i="5"/>
  <c r="BL105" i="5" s="1"/>
  <c r="BG303" i="5"/>
  <c r="BL303" i="5" s="1"/>
  <c r="BH303" i="5"/>
  <c r="BM303" i="5" s="1"/>
  <c r="BG47" i="5"/>
  <c r="BL47" i="5" s="1"/>
  <c r="BH47" i="5"/>
  <c r="BM47" i="5" s="1"/>
  <c r="BH322" i="5"/>
  <c r="BM322" i="5" s="1"/>
  <c r="BG322" i="5"/>
  <c r="BL322" i="5" s="1"/>
  <c r="BG258" i="5"/>
  <c r="BL258" i="5" s="1"/>
  <c r="BH258" i="5"/>
  <c r="BM258" i="5" s="1"/>
  <c r="BG270" i="5"/>
  <c r="BL270" i="5" s="1"/>
  <c r="BH270" i="5"/>
  <c r="BM270" i="5" s="1"/>
  <c r="BG176" i="5"/>
  <c r="BL176" i="5" s="1"/>
  <c r="BH176" i="5"/>
  <c r="BM176" i="5" s="1"/>
  <c r="BH508" i="5"/>
  <c r="BM508" i="5" s="1"/>
  <c r="BG508" i="5"/>
  <c r="BL508" i="5" s="1"/>
  <c r="BG414" i="5"/>
  <c r="BL414" i="5" s="1"/>
  <c r="BH414" i="5"/>
  <c r="BM414" i="5" s="1"/>
  <c r="BH230" i="5"/>
  <c r="BM230" i="5" s="1"/>
  <c r="BG230" i="5"/>
  <c r="BL230" i="5" s="1"/>
  <c r="BH509" i="5"/>
  <c r="BM509" i="5" s="1"/>
  <c r="BG509" i="5"/>
  <c r="BL509" i="5" s="1"/>
  <c r="BG292" i="5"/>
  <c r="BL292" i="5" s="1"/>
  <c r="BH292" i="5"/>
  <c r="BM292" i="5" s="1"/>
  <c r="BG446" i="5"/>
  <c r="BL446" i="5" s="1"/>
  <c r="BH446" i="5"/>
  <c r="BM446" i="5" s="1"/>
  <c r="BH422" i="5"/>
  <c r="BM422" i="5" s="1"/>
  <c r="BG422" i="5"/>
  <c r="BL422" i="5" s="1"/>
  <c r="BG43" i="5"/>
  <c r="BL43" i="5" s="1"/>
  <c r="BH43" i="5"/>
  <c r="BM43" i="5" s="1"/>
  <c r="BG91" i="5"/>
  <c r="BL91" i="5" s="1"/>
  <c r="BH91" i="5"/>
  <c r="BM91" i="5" s="1"/>
  <c r="BH37" i="5"/>
  <c r="BM37" i="5" s="1"/>
  <c r="BG37" i="5"/>
  <c r="BL37" i="5" s="1"/>
  <c r="BH248" i="5"/>
  <c r="BM248" i="5" s="1"/>
  <c r="BG248" i="5"/>
  <c r="BL248" i="5" s="1"/>
  <c r="BH529" i="5"/>
  <c r="BM529" i="5" s="1"/>
  <c r="BG529" i="5"/>
  <c r="BL529" i="5" s="1"/>
  <c r="BG354" i="5"/>
  <c r="BL354" i="5" s="1"/>
  <c r="BH354" i="5"/>
  <c r="BM354" i="5" s="1"/>
  <c r="BH255" i="5"/>
  <c r="BM255" i="5" s="1"/>
  <c r="BG255" i="5"/>
  <c r="BL255" i="5" s="1"/>
  <c r="BG121" i="5"/>
  <c r="BL121" i="5" s="1"/>
  <c r="BH121" i="5"/>
  <c r="BM121" i="5" s="1"/>
  <c r="BH124" i="5"/>
  <c r="BM124" i="5" s="1"/>
  <c r="BG124" i="5"/>
  <c r="BL124" i="5" s="1"/>
  <c r="BG402" i="5"/>
  <c r="BL402" i="5" s="1"/>
  <c r="BH402" i="5"/>
  <c r="BM402" i="5" s="1"/>
  <c r="BH324" i="5"/>
  <c r="BM324" i="5" s="1"/>
  <c r="BG324" i="5"/>
  <c r="BL324" i="5" s="1"/>
  <c r="BG283" i="5"/>
  <c r="BL283" i="5" s="1"/>
  <c r="BH283" i="5"/>
  <c r="BM283" i="5" s="1"/>
  <c r="BG251" i="5"/>
  <c r="BL251" i="5" s="1"/>
  <c r="BH251" i="5"/>
  <c r="BM251" i="5" s="1"/>
  <c r="BG291" i="5"/>
  <c r="BL291" i="5" s="1"/>
  <c r="BH291" i="5"/>
  <c r="BM291" i="5" s="1"/>
  <c r="BG343" i="5"/>
  <c r="BL343" i="5" s="1"/>
  <c r="BH343" i="5"/>
  <c r="BM343" i="5" s="1"/>
  <c r="BG65" i="5"/>
  <c r="BL65" i="5" s="1"/>
  <c r="BH65" i="5"/>
  <c r="BM65" i="5" s="1"/>
  <c r="BH331" i="5"/>
  <c r="BM331" i="5" s="1"/>
  <c r="BG331" i="5"/>
  <c r="BL331" i="5" s="1"/>
  <c r="BG316" i="5"/>
  <c r="BL316" i="5" s="1"/>
  <c r="BH316" i="5"/>
  <c r="BM316" i="5" s="1"/>
  <c r="BG522" i="5"/>
  <c r="BL522" i="5" s="1"/>
  <c r="BH522" i="5"/>
  <c r="BM522" i="5" s="1"/>
  <c r="BG70" i="5"/>
  <c r="BL70" i="5" s="1"/>
  <c r="BH70" i="5"/>
  <c r="BM70" i="5" s="1"/>
  <c r="BH12" i="5"/>
  <c r="BM12" i="5" s="1"/>
  <c r="BG12" i="5"/>
  <c r="BL12" i="5" s="1"/>
  <c r="BG186" i="5"/>
  <c r="BL186" i="5" s="1"/>
  <c r="BH186" i="5"/>
  <c r="BM186" i="5" s="1"/>
  <c r="BG66" i="5"/>
  <c r="BL66" i="5" s="1"/>
  <c r="BH66" i="5"/>
  <c r="BM66" i="5" s="1"/>
  <c r="BG325" i="5"/>
  <c r="BL325" i="5" s="1"/>
  <c r="BH325" i="5"/>
  <c r="BM325" i="5" s="1"/>
  <c r="BG268" i="5"/>
  <c r="BL268" i="5" s="1"/>
  <c r="BH268" i="5"/>
  <c r="BM268" i="5" s="1"/>
  <c r="BG217" i="5"/>
  <c r="BL217" i="5" s="1"/>
  <c r="BH217" i="5"/>
  <c r="BM217" i="5" s="1"/>
  <c r="BG430" i="5"/>
  <c r="BL430" i="5" s="1"/>
  <c r="BH430" i="5"/>
  <c r="BM430" i="5" s="1"/>
  <c r="BH410" i="5"/>
  <c r="BM410" i="5" s="1"/>
  <c r="BG410" i="5"/>
  <c r="BL410" i="5" s="1"/>
  <c r="BG534" i="5"/>
  <c r="BL534" i="5" s="1"/>
  <c r="BH534" i="5"/>
  <c r="BM534" i="5" s="1"/>
  <c r="BH202" i="5"/>
  <c r="BM202" i="5" s="1"/>
  <c r="BG202" i="5"/>
  <c r="BL202" i="5" s="1"/>
  <c r="BG498" i="5"/>
  <c r="BL498" i="5" s="1"/>
  <c r="BH498" i="5"/>
  <c r="BM498" i="5" s="1"/>
  <c r="BG40" i="5"/>
  <c r="BL40" i="5" s="1"/>
  <c r="BH40" i="5"/>
  <c r="BM40" i="5" s="1"/>
  <c r="BG109" i="5"/>
  <c r="BL109" i="5" s="1"/>
  <c r="BH109" i="5"/>
  <c r="BM109" i="5" s="1"/>
  <c r="BG504" i="5"/>
  <c r="BL504" i="5" s="1"/>
  <c r="BH504" i="5"/>
  <c r="BM504" i="5" s="1"/>
  <c r="BG256" i="5"/>
  <c r="BL256" i="5" s="1"/>
  <c r="BH256" i="5"/>
  <c r="BM256" i="5" s="1"/>
  <c r="BH172" i="5"/>
  <c r="BM172" i="5" s="1"/>
  <c r="BG172" i="5"/>
  <c r="BL172" i="5" s="1"/>
  <c r="BH348" i="5"/>
  <c r="BM348" i="5" s="1"/>
  <c r="BG348" i="5"/>
  <c r="BL348" i="5" s="1"/>
  <c r="BH218" i="5"/>
  <c r="BM218" i="5" s="1"/>
  <c r="BG218" i="5"/>
  <c r="BL218" i="5" s="1"/>
  <c r="BG392" i="5"/>
  <c r="BL392" i="5" s="1"/>
  <c r="BH392" i="5"/>
  <c r="BM392" i="5" s="1"/>
  <c r="BH250" i="5"/>
  <c r="BM250" i="5" s="1"/>
  <c r="BG250" i="5"/>
  <c r="BL250" i="5" s="1"/>
  <c r="BH321" i="5"/>
  <c r="BM321" i="5" s="1"/>
  <c r="BG321" i="5"/>
  <c r="BL321" i="5" s="1"/>
  <c r="BG168" i="5"/>
  <c r="BL168" i="5" s="1"/>
  <c r="BH168" i="5"/>
  <c r="BM168" i="5" s="1"/>
  <c r="BG477" i="5"/>
  <c r="BL477" i="5" s="1"/>
  <c r="BH477" i="5"/>
  <c r="BM477" i="5" s="1"/>
  <c r="BG231" i="5"/>
  <c r="BL231" i="5" s="1"/>
  <c r="BH231" i="5"/>
  <c r="BM231" i="5" s="1"/>
  <c r="BH482" i="5"/>
  <c r="BM482" i="5" s="1"/>
  <c r="BG482" i="5"/>
  <c r="BL482" i="5" s="1"/>
  <c r="BG429" i="5"/>
  <c r="BL429" i="5" s="1"/>
  <c r="BH429" i="5"/>
  <c r="BM429" i="5" s="1"/>
  <c r="BG254" i="5"/>
  <c r="BL254" i="5" s="1"/>
  <c r="BH254" i="5"/>
  <c r="BM254" i="5" s="1"/>
  <c r="BH92" i="5"/>
  <c r="BM92" i="5" s="1"/>
  <c r="BG92" i="5"/>
  <c r="BL92" i="5" s="1"/>
  <c r="BG228" i="5"/>
  <c r="BL228" i="5" s="1"/>
  <c r="BH228" i="5"/>
  <c r="BM228" i="5" s="1"/>
  <c r="BH173" i="5"/>
  <c r="BM173" i="5" s="1"/>
  <c r="BG173" i="5"/>
  <c r="BL173" i="5" s="1"/>
  <c r="BG288" i="5"/>
  <c r="BL288" i="5" s="1"/>
  <c r="BH288" i="5"/>
  <c r="BM288" i="5" s="1"/>
  <c r="BH128" i="5"/>
  <c r="BM128" i="5" s="1"/>
  <c r="BG128" i="5"/>
  <c r="BL128" i="5" s="1"/>
  <c r="BH207" i="5"/>
  <c r="BM207" i="5" s="1"/>
  <c r="BG207" i="5"/>
  <c r="BL207" i="5" s="1"/>
  <c r="BG279" i="5"/>
  <c r="BL279" i="5" s="1"/>
  <c r="BH279" i="5"/>
  <c r="BM279" i="5" s="1"/>
  <c r="BG437" i="5"/>
  <c r="BL437" i="5" s="1"/>
  <c r="BH437" i="5"/>
  <c r="BM437" i="5" s="1"/>
  <c r="BG334" i="5"/>
  <c r="BL334" i="5" s="1"/>
  <c r="BH334" i="5"/>
  <c r="BM334" i="5" s="1"/>
  <c r="BG552" i="5"/>
  <c r="BL552" i="5" s="1"/>
  <c r="BH552" i="5"/>
  <c r="BM552" i="5" s="1"/>
  <c r="BG104" i="5"/>
  <c r="BL104" i="5" s="1"/>
  <c r="BH104" i="5"/>
  <c r="BM104" i="5" s="1"/>
  <c r="BG531" i="5"/>
  <c r="BL531" i="5" s="1"/>
  <c r="BH531" i="5"/>
  <c r="BM531" i="5" s="1"/>
  <c r="BG38" i="5"/>
  <c r="BL38" i="5" s="1"/>
  <c r="BH38" i="5"/>
  <c r="BM38" i="5" s="1"/>
  <c r="BH97" i="5"/>
  <c r="BM97" i="5" s="1"/>
  <c r="BG97" i="5"/>
  <c r="BL97" i="5" s="1"/>
  <c r="BH96" i="5"/>
  <c r="BM96" i="5" s="1"/>
  <c r="BG96" i="5"/>
  <c r="BL96" i="5" s="1"/>
  <c r="BH26" i="5"/>
  <c r="BM26" i="5" s="1"/>
  <c r="BG26" i="5"/>
  <c r="BL26" i="5" s="1"/>
  <c r="BG183" i="5"/>
  <c r="BL183" i="5" s="1"/>
  <c r="BH183" i="5"/>
  <c r="BM183" i="5" s="1"/>
  <c r="BH559" i="5"/>
  <c r="BM559" i="5" s="1"/>
  <c r="BG559" i="5"/>
  <c r="BL559" i="5" s="1"/>
  <c r="BH39" i="5"/>
  <c r="BM39" i="5" s="1"/>
  <c r="BG39" i="5"/>
  <c r="BL39" i="5" s="1"/>
  <c r="BH517" i="5"/>
  <c r="BM517" i="5" s="1"/>
  <c r="BG517" i="5"/>
  <c r="BL517" i="5" s="1"/>
  <c r="BH99" i="5"/>
  <c r="BM99" i="5" s="1"/>
  <c r="BG99" i="5"/>
  <c r="BL99" i="5" s="1"/>
  <c r="BG525" i="5"/>
  <c r="BL525" i="5" s="1"/>
  <c r="BH525" i="5"/>
  <c r="BM525" i="5" s="1"/>
  <c r="BG59" i="5"/>
  <c r="BL59" i="5" s="1"/>
  <c r="BH59" i="5"/>
  <c r="BM59" i="5" s="1"/>
  <c r="BG169" i="5"/>
  <c r="BL169" i="5" s="1"/>
  <c r="BH169" i="5"/>
  <c r="BM169" i="5" s="1"/>
  <c r="BG146" i="5"/>
  <c r="BL146" i="5" s="1"/>
  <c r="BH146" i="5"/>
  <c r="BM146" i="5" s="1"/>
  <c r="BH274" i="5"/>
  <c r="BM274" i="5" s="1"/>
  <c r="BG274" i="5"/>
  <c r="BL274" i="5" s="1"/>
  <c r="BH523" i="5"/>
  <c r="BM523" i="5" s="1"/>
  <c r="BG523" i="5"/>
  <c r="BL523" i="5" s="1"/>
  <c r="BG229" i="5"/>
  <c r="BL229" i="5" s="1"/>
  <c r="BH229" i="5"/>
  <c r="BM229" i="5" s="1"/>
  <c r="BH495" i="5"/>
  <c r="BM495" i="5" s="1"/>
  <c r="BG495" i="5"/>
  <c r="BL495" i="5" s="1"/>
  <c r="BH329" i="5"/>
  <c r="BM329" i="5" s="1"/>
  <c r="BG329" i="5"/>
  <c r="BL329" i="5" s="1"/>
  <c r="BH554" i="5"/>
  <c r="BM554" i="5" s="1"/>
  <c r="BG554" i="5"/>
  <c r="BL554" i="5" s="1"/>
  <c r="BG75" i="5"/>
  <c r="BL75" i="5" s="1"/>
  <c r="BH75" i="5"/>
  <c r="BM75" i="5" s="1"/>
  <c r="BH546" i="5"/>
  <c r="BM546" i="5" s="1"/>
  <c r="BG546" i="5"/>
  <c r="BL546" i="5" s="1"/>
  <c r="BH484" i="5"/>
  <c r="BM484" i="5" s="1"/>
  <c r="BG484" i="5"/>
  <c r="BL484" i="5" s="1"/>
  <c r="BH174" i="5"/>
  <c r="BM174" i="5" s="1"/>
  <c r="BG174" i="5"/>
  <c r="BL174" i="5" s="1"/>
  <c r="BH471" i="5"/>
  <c r="BM471" i="5" s="1"/>
  <c r="BG471" i="5"/>
  <c r="BL471" i="5" s="1"/>
  <c r="BH199" i="5"/>
  <c r="BM199" i="5" s="1"/>
  <c r="BG199" i="5"/>
  <c r="BL199" i="5" s="1"/>
  <c r="BG433" i="5"/>
  <c r="BL433" i="5" s="1"/>
  <c r="BH433" i="5"/>
  <c r="BM433" i="5" s="1"/>
  <c r="BG333" i="5"/>
  <c r="BL333" i="5" s="1"/>
  <c r="BH333" i="5"/>
  <c r="BM333" i="5" s="1"/>
  <c r="BH95" i="5"/>
  <c r="BM95" i="5" s="1"/>
  <c r="BG95" i="5"/>
  <c r="BL95" i="5" s="1"/>
  <c r="BG51" i="5"/>
  <c r="BL51" i="5" s="1"/>
  <c r="BH51" i="5"/>
  <c r="BM51" i="5" s="1"/>
  <c r="BH161" i="5"/>
  <c r="BM161" i="5" s="1"/>
  <c r="BG161" i="5"/>
  <c r="BL161" i="5" s="1"/>
  <c r="BH240" i="5"/>
  <c r="BM240" i="5" s="1"/>
  <c r="BG240" i="5"/>
  <c r="BL240" i="5" s="1"/>
  <c r="BH492" i="5"/>
  <c r="BM492" i="5" s="1"/>
  <c r="BG492" i="5"/>
  <c r="BL492" i="5" s="1"/>
  <c r="BG403" i="5"/>
  <c r="BL403" i="5" s="1"/>
  <c r="BH403" i="5"/>
  <c r="BM403" i="5" s="1"/>
  <c r="BH475" i="5"/>
  <c r="BM475" i="5" s="1"/>
  <c r="BG475" i="5"/>
  <c r="BL475" i="5" s="1"/>
  <c r="BH213" i="5"/>
  <c r="BM213" i="5" s="1"/>
  <c r="BG213" i="5"/>
  <c r="BL213" i="5" s="1"/>
  <c r="BH49" i="5"/>
  <c r="BM49" i="5" s="1"/>
  <c r="BG49" i="5"/>
  <c r="BL49" i="5" s="1"/>
  <c r="BH281" i="5"/>
  <c r="BM281" i="5" s="1"/>
  <c r="BG281" i="5"/>
  <c r="BL281" i="5" s="1"/>
  <c r="BG382" i="5"/>
  <c r="BL382" i="5" s="1"/>
  <c r="BH382" i="5"/>
  <c r="BM382" i="5" s="1"/>
  <c r="BH257" i="5"/>
  <c r="BM257" i="5" s="1"/>
  <c r="BG257" i="5"/>
  <c r="BL257" i="5" s="1"/>
  <c r="BG390" i="5"/>
  <c r="BL390" i="5" s="1"/>
  <c r="BH390" i="5"/>
  <c r="BM390" i="5" s="1"/>
  <c r="BG463" i="5"/>
  <c r="BL463" i="5" s="1"/>
  <c r="BH463" i="5"/>
  <c r="BM463" i="5" s="1"/>
  <c r="BG379" i="5"/>
  <c r="BL379" i="5" s="1"/>
  <c r="BH379" i="5"/>
  <c r="BM379" i="5" s="1"/>
  <c r="BG276" i="5"/>
  <c r="BL276" i="5" s="1"/>
  <c r="BH276" i="5"/>
  <c r="BM276" i="5" s="1"/>
  <c r="BG13" i="5"/>
  <c r="BL13" i="5" s="1"/>
  <c r="BH13" i="5"/>
  <c r="BM13" i="5" s="1"/>
  <c r="BH442" i="5"/>
  <c r="BM442" i="5" s="1"/>
  <c r="BG442" i="5"/>
  <c r="BL442" i="5" s="1"/>
  <c r="BH149" i="5"/>
  <c r="BM149" i="5" s="1"/>
  <c r="BG149" i="5"/>
  <c r="BL149" i="5" s="1"/>
  <c r="BH34" i="5"/>
  <c r="BM34" i="5" s="1"/>
  <c r="BG34" i="5"/>
  <c r="BL34" i="5" s="1"/>
  <c r="BH129" i="5"/>
  <c r="BM129" i="5" s="1"/>
  <c r="BG129" i="5"/>
  <c r="BL129" i="5" s="1"/>
  <c r="BH386" i="5"/>
  <c r="BM386" i="5" s="1"/>
  <c r="BG386" i="5"/>
  <c r="BL386" i="5" s="1"/>
  <c r="BH404" i="5"/>
  <c r="BM404" i="5" s="1"/>
  <c r="BG404" i="5"/>
  <c r="BL404" i="5" s="1"/>
  <c r="BH192" i="5"/>
  <c r="BM192" i="5" s="1"/>
  <c r="BG192" i="5"/>
  <c r="BL192" i="5" s="1"/>
  <c r="BG196" i="5"/>
  <c r="BL196" i="5" s="1"/>
  <c r="BH196" i="5"/>
  <c r="BM196" i="5" s="1"/>
  <c r="BG536" i="5"/>
  <c r="BL536" i="5" s="1"/>
  <c r="BH536" i="5"/>
  <c r="BM536" i="5" s="1"/>
  <c r="BG305" i="5"/>
  <c r="BL305" i="5" s="1"/>
  <c r="BH305" i="5"/>
  <c r="BM305" i="5" s="1"/>
  <c r="BH223" i="5"/>
  <c r="BM223" i="5" s="1"/>
  <c r="BG223" i="5"/>
  <c r="BL223" i="5" s="1"/>
  <c r="BH33" i="5"/>
  <c r="BM33" i="5" s="1"/>
  <c r="BG33" i="5"/>
  <c r="BL33" i="5" s="1"/>
  <c r="BG87" i="5"/>
  <c r="BL87" i="5" s="1"/>
  <c r="BH87" i="5"/>
  <c r="BM87" i="5" s="1"/>
  <c r="BH341" i="5"/>
  <c r="BM341" i="5" s="1"/>
  <c r="BG341" i="5"/>
  <c r="BL341" i="5" s="1"/>
  <c r="BH133" i="5"/>
  <c r="BM133" i="5" s="1"/>
  <c r="BG133" i="5"/>
  <c r="BL133" i="5" s="1"/>
  <c r="BG356" i="5"/>
  <c r="BL356" i="5" s="1"/>
  <c r="BH356" i="5"/>
  <c r="BM356" i="5" s="1"/>
  <c r="BG371" i="5"/>
  <c r="BL371" i="5" s="1"/>
  <c r="BH371" i="5"/>
  <c r="BM371" i="5" s="1"/>
  <c r="BG460" i="5"/>
  <c r="BL460" i="5" s="1"/>
  <c r="BH460" i="5"/>
  <c r="BM460" i="5" s="1"/>
  <c r="BG395" i="5"/>
  <c r="BL395" i="5" s="1"/>
  <c r="BH395" i="5"/>
  <c r="BM395" i="5" s="1"/>
  <c r="BH407" i="5"/>
  <c r="BM407" i="5" s="1"/>
  <c r="BG407" i="5"/>
  <c r="BL407" i="5" s="1"/>
  <c r="BH505" i="5"/>
  <c r="BM505" i="5" s="1"/>
  <c r="BG505" i="5"/>
  <c r="BL505" i="5" s="1"/>
  <c r="BG393" i="5"/>
  <c r="BL393" i="5" s="1"/>
  <c r="BH393" i="5"/>
  <c r="BM393" i="5" s="1"/>
  <c r="BG352" i="5"/>
  <c r="BL352" i="5" s="1"/>
  <c r="BH352" i="5"/>
  <c r="BM352" i="5" s="1"/>
  <c r="BG282" i="5"/>
  <c r="BL282" i="5" s="1"/>
  <c r="BH282" i="5"/>
  <c r="BM282" i="5" s="1"/>
  <c r="BG145" i="5"/>
  <c r="BL145" i="5" s="1"/>
  <c r="BH145" i="5"/>
  <c r="BM145" i="5" s="1"/>
  <c r="BG126" i="5"/>
  <c r="BL126" i="5" s="1"/>
  <c r="BH126" i="5"/>
  <c r="BM126" i="5" s="1"/>
  <c r="BH85" i="5"/>
  <c r="BM85" i="5" s="1"/>
  <c r="BG85" i="5"/>
  <c r="BL85" i="5" s="1"/>
  <c r="BH311" i="5"/>
  <c r="BM311" i="5" s="1"/>
  <c r="BG311" i="5"/>
  <c r="BL311" i="5" s="1"/>
  <c r="BG58" i="5"/>
  <c r="BL58" i="5" s="1"/>
  <c r="BH58" i="5"/>
  <c r="BM58" i="5" s="1"/>
  <c r="BH423" i="5"/>
  <c r="BM423" i="5" s="1"/>
  <c r="BG423" i="5"/>
  <c r="BL423" i="5" s="1"/>
  <c r="BG71" i="5"/>
  <c r="BL71" i="5" s="1"/>
  <c r="BH71" i="5"/>
  <c r="BM71" i="5" s="1"/>
  <c r="BG553" i="5"/>
  <c r="BL553" i="5" s="1"/>
  <c r="BH553" i="5"/>
  <c r="BM553" i="5" s="1"/>
  <c r="BG221" i="5"/>
  <c r="BL221" i="5" s="1"/>
  <c r="BH221" i="5"/>
  <c r="BM221" i="5" s="1"/>
  <c r="BG278" i="5"/>
  <c r="BL278" i="5" s="1"/>
  <c r="BH278" i="5"/>
  <c r="BM278" i="5" s="1"/>
  <c r="BH376" i="5"/>
  <c r="BM376" i="5" s="1"/>
  <c r="BG376" i="5"/>
  <c r="BL376" i="5" s="1"/>
  <c r="BG499" i="5"/>
  <c r="BL499" i="5" s="1"/>
  <c r="BH499" i="5"/>
  <c r="BM499" i="5" s="1"/>
  <c r="BG408" i="5"/>
  <c r="BL408" i="5" s="1"/>
  <c r="BH408" i="5"/>
  <c r="BM408" i="5" s="1"/>
  <c r="BG373" i="5"/>
  <c r="BL373" i="5" s="1"/>
  <c r="BH373" i="5"/>
  <c r="BM373" i="5" s="1"/>
  <c r="BG119" i="5"/>
  <c r="BL119" i="5" s="1"/>
  <c r="BH119" i="5"/>
  <c r="BM119" i="5" s="1"/>
  <c r="BG272" i="5"/>
  <c r="BL272" i="5" s="1"/>
  <c r="BH272" i="5"/>
  <c r="BM272" i="5" s="1"/>
  <c r="BG64" i="5"/>
  <c r="BL64" i="5" s="1"/>
  <c r="BH64" i="5"/>
  <c r="BM64" i="5" s="1"/>
  <c r="BG180" i="5"/>
  <c r="BL180" i="5" s="1"/>
  <c r="BH180" i="5"/>
  <c r="BM180" i="5" s="1"/>
  <c r="BG179" i="5"/>
  <c r="BL179" i="5" s="1"/>
  <c r="BH179" i="5"/>
  <c r="BM179" i="5" s="1"/>
  <c r="BH216" i="5"/>
  <c r="BM216" i="5" s="1"/>
  <c r="BG216" i="5"/>
  <c r="BL216" i="5" s="1"/>
  <c r="BG23" i="5"/>
  <c r="BL23" i="5" s="1"/>
  <c r="BH23" i="5"/>
  <c r="BM23" i="5" s="1"/>
  <c r="BG267" i="5"/>
  <c r="BL267" i="5" s="1"/>
  <c r="BH267" i="5"/>
  <c r="BM267" i="5" s="1"/>
  <c r="BH449" i="5"/>
  <c r="BM449" i="5" s="1"/>
  <c r="BG449" i="5"/>
  <c r="BL449" i="5" s="1"/>
  <c r="BG457" i="5"/>
  <c r="BL457" i="5" s="1"/>
  <c r="BH457" i="5"/>
  <c r="BM457" i="5" s="1"/>
  <c r="BH162" i="5"/>
  <c r="BM162" i="5" s="1"/>
  <c r="BG162" i="5"/>
  <c r="BL162" i="5" s="1"/>
  <c r="BG473" i="5"/>
  <c r="BL473" i="5" s="1"/>
  <c r="BH473" i="5"/>
  <c r="BM473" i="5" s="1"/>
  <c r="BG421" i="5"/>
  <c r="BL421" i="5" s="1"/>
  <c r="BH421" i="5"/>
  <c r="BM421" i="5" s="1"/>
  <c r="BH415" i="5"/>
  <c r="BM415" i="5" s="1"/>
  <c r="BG415" i="5"/>
  <c r="BL415" i="5" s="1"/>
  <c r="BG280" i="5"/>
  <c r="BL280" i="5" s="1"/>
  <c r="BH280" i="5"/>
  <c r="BM280" i="5" s="1"/>
  <c r="BG490" i="5"/>
  <c r="BL490" i="5" s="1"/>
  <c r="BH490" i="5"/>
  <c r="BM490" i="5" s="1"/>
  <c r="BG480" i="5"/>
  <c r="BL480" i="5" s="1"/>
  <c r="BH480" i="5"/>
  <c r="BM480" i="5" s="1"/>
  <c r="BH156" i="5"/>
  <c r="BM156" i="5" s="1"/>
  <c r="BG156" i="5"/>
  <c r="BL156" i="5" s="1"/>
  <c r="BH289" i="5"/>
  <c r="BM289" i="5" s="1"/>
  <c r="BG289" i="5"/>
  <c r="BL289" i="5" s="1"/>
  <c r="BG551" i="5"/>
  <c r="BL551" i="5" s="1"/>
  <c r="BH551" i="5"/>
  <c r="BM551" i="5" s="1"/>
  <c r="BG309" i="5"/>
  <c r="BL309" i="5" s="1"/>
  <c r="BH309" i="5"/>
  <c r="BM309" i="5" s="1"/>
  <c r="BG10" i="5"/>
  <c r="BL10" i="5" s="1"/>
  <c r="BH10" i="5"/>
  <c r="BM10" i="5" s="1"/>
  <c r="BG259" i="5"/>
  <c r="BL259" i="5" s="1"/>
  <c r="BH259" i="5"/>
  <c r="BM259" i="5" s="1"/>
  <c r="BG396" i="5"/>
  <c r="BL396" i="5" s="1"/>
  <c r="BH396" i="5"/>
  <c r="BM396" i="5" s="1"/>
  <c r="BH296" i="5"/>
  <c r="BM296" i="5" s="1"/>
  <c r="BG296" i="5"/>
  <c r="BL296" i="5" s="1"/>
  <c r="BH55" i="5"/>
  <c r="BM55" i="5" s="1"/>
  <c r="BG55" i="5"/>
  <c r="BL55" i="5" s="1"/>
  <c r="BG194" i="5"/>
  <c r="BL194" i="5" s="1"/>
  <c r="BH194" i="5"/>
  <c r="BM194" i="5" s="1"/>
  <c r="BH543" i="5"/>
  <c r="BM543" i="5" s="1"/>
  <c r="BG543" i="5"/>
  <c r="BL543" i="5" s="1"/>
  <c r="BH332" i="5"/>
  <c r="BM332" i="5" s="1"/>
  <c r="BG332" i="5"/>
  <c r="BL332" i="5" s="1"/>
  <c r="BH406" i="5"/>
  <c r="BM406" i="5" s="1"/>
  <c r="BG406" i="5"/>
  <c r="BL406" i="5" s="1"/>
  <c r="BH286" i="5"/>
  <c r="BM286" i="5" s="1"/>
  <c r="BG286" i="5"/>
  <c r="BL286" i="5" s="1"/>
  <c r="BH448" i="5"/>
  <c r="BM448" i="5" s="1"/>
  <c r="BG448" i="5"/>
  <c r="BL448" i="5" s="1"/>
  <c r="BG344" i="5"/>
  <c r="BL344" i="5" s="1"/>
  <c r="BH344" i="5"/>
  <c r="BM344" i="5" s="1"/>
  <c r="BH439" i="5"/>
  <c r="BM439" i="5" s="1"/>
  <c r="BG439" i="5"/>
  <c r="BL439" i="5" s="1"/>
  <c r="BH158" i="5"/>
  <c r="BM158" i="5" s="1"/>
  <c r="BG158" i="5"/>
  <c r="BL158" i="5" s="1"/>
  <c r="BG184" i="5"/>
  <c r="BL184" i="5" s="1"/>
  <c r="BH184" i="5"/>
  <c r="BM184" i="5" s="1"/>
  <c r="BG298" i="5"/>
  <c r="BL298" i="5" s="1"/>
  <c r="BH298" i="5"/>
  <c r="BM298" i="5" s="1"/>
  <c r="BG56" i="5"/>
  <c r="BL56" i="5" s="1"/>
  <c r="BH56" i="5"/>
  <c r="BM56" i="5" s="1"/>
  <c r="BH514" i="5"/>
  <c r="BM514" i="5" s="1"/>
  <c r="BG514" i="5"/>
  <c r="BL514" i="5" s="1"/>
  <c r="BH299" i="5"/>
  <c r="BM299" i="5" s="1"/>
  <c r="BG299" i="5"/>
  <c r="BL299" i="5" s="1"/>
  <c r="BH167" i="5"/>
  <c r="BM167" i="5" s="1"/>
  <c r="BG167" i="5"/>
  <c r="BL167" i="5" s="1"/>
  <c r="BG235" i="5"/>
  <c r="BL235" i="5" s="1"/>
  <c r="BH235" i="5"/>
  <c r="BM235" i="5" s="1"/>
  <c r="BG317" i="5"/>
  <c r="BL317" i="5" s="1"/>
  <c r="BH317" i="5"/>
  <c r="BM317" i="5" s="1"/>
  <c r="BG342" i="5"/>
  <c r="BL342" i="5" s="1"/>
  <c r="BH342" i="5"/>
  <c r="BM342" i="5" s="1"/>
  <c r="BG252" i="5"/>
  <c r="BL252" i="5" s="1"/>
  <c r="BH252" i="5"/>
  <c r="BM252" i="5" s="1"/>
  <c r="BH526" i="5"/>
  <c r="BM526" i="5" s="1"/>
  <c r="BG526" i="5"/>
  <c r="BL526" i="5" s="1"/>
  <c r="BH112" i="5"/>
  <c r="BM112" i="5" s="1"/>
  <c r="BG112" i="5"/>
  <c r="BL112" i="5" s="1"/>
  <c r="BG185" i="5"/>
  <c r="BL185" i="5" s="1"/>
  <c r="BH185" i="5"/>
  <c r="BM185" i="5" s="1"/>
  <c r="BG245" i="5"/>
  <c r="BL245" i="5" s="1"/>
  <c r="BH245" i="5"/>
  <c r="BM245" i="5" s="1"/>
  <c r="BG8" i="5"/>
  <c r="BL8" i="5" s="1"/>
  <c r="BH8" i="5"/>
  <c r="BM8" i="5" s="1"/>
  <c r="BG94" i="5"/>
  <c r="BL94" i="5" s="1"/>
  <c r="BH94" i="5"/>
  <c r="BM94" i="5" s="1"/>
  <c r="BG351" i="5"/>
  <c r="BL351" i="5" s="1"/>
  <c r="BH351" i="5"/>
  <c r="BM351" i="5" s="1"/>
  <c r="BG452" i="5"/>
  <c r="BL452" i="5" s="1"/>
  <c r="BH452" i="5"/>
  <c r="BM452" i="5" s="1"/>
  <c r="BH432" i="5"/>
  <c r="BM432" i="5" s="1"/>
  <c r="BG432" i="5"/>
  <c r="BL432" i="5" s="1"/>
  <c r="BG287" i="5"/>
  <c r="BL287" i="5" s="1"/>
  <c r="BH287" i="5"/>
  <c r="BM287" i="5" s="1"/>
  <c r="BH21" i="5"/>
  <c r="BM21" i="5" s="1"/>
  <c r="BG21" i="5"/>
  <c r="BL21" i="5" s="1"/>
  <c r="BG541" i="5"/>
  <c r="BL541" i="5" s="1"/>
  <c r="BH541" i="5"/>
  <c r="BM541" i="5" s="1"/>
  <c r="BH345" i="5"/>
  <c r="BM345" i="5" s="1"/>
  <c r="BG345" i="5"/>
  <c r="BL345" i="5" s="1"/>
  <c r="BH157" i="5"/>
  <c r="BM157" i="5" s="1"/>
  <c r="BG157" i="5"/>
  <c r="BL157" i="5" s="1"/>
  <c r="BH205" i="5"/>
  <c r="BM205" i="5" s="1"/>
  <c r="BG205" i="5"/>
  <c r="BL205" i="5" s="1"/>
  <c r="BH510" i="5"/>
  <c r="BM510" i="5" s="1"/>
  <c r="BG510" i="5"/>
  <c r="BL510" i="5" s="1"/>
  <c r="BG358" i="5"/>
  <c r="BL358" i="5" s="1"/>
  <c r="BH358" i="5"/>
  <c r="BM358" i="5" s="1"/>
  <c r="BH142" i="5"/>
  <c r="BM142" i="5" s="1"/>
  <c r="BG142" i="5"/>
  <c r="BL142" i="5" s="1"/>
  <c r="BG140" i="5"/>
  <c r="BL140" i="5" s="1"/>
  <c r="BH140" i="5"/>
  <c r="BM140" i="5" s="1"/>
  <c r="BH409" i="5"/>
  <c r="BM409" i="5" s="1"/>
  <c r="BG409" i="5"/>
  <c r="BL409" i="5" s="1"/>
  <c r="BH27" i="5"/>
  <c r="BM27" i="5" s="1"/>
  <c r="BG27" i="5"/>
  <c r="BL27" i="5" s="1"/>
  <c r="BH520" i="5"/>
  <c r="BM520" i="5" s="1"/>
  <c r="BG520" i="5"/>
  <c r="BL520" i="5" s="1"/>
  <c r="BH136" i="5"/>
  <c r="BM136" i="5" s="1"/>
  <c r="BG136" i="5"/>
  <c r="BL136" i="5" s="1"/>
  <c r="BG532" i="5"/>
  <c r="BL532" i="5" s="1"/>
  <c r="BH532" i="5"/>
  <c r="BM532" i="5" s="1"/>
  <c r="BH412" i="5"/>
  <c r="BM412" i="5" s="1"/>
  <c r="BG412" i="5"/>
  <c r="BL412" i="5" s="1"/>
  <c r="BG417" i="5"/>
  <c r="BL417" i="5" s="1"/>
  <c r="BH417" i="5"/>
  <c r="BM417" i="5" s="1"/>
  <c r="BH349" i="5"/>
  <c r="BM349" i="5" s="1"/>
  <c r="BG349" i="5"/>
  <c r="BL349" i="5" s="1"/>
  <c r="BG195" i="5"/>
  <c r="BL195" i="5" s="1"/>
  <c r="BH195" i="5"/>
  <c r="BM195" i="5" s="1"/>
  <c r="BG164" i="5"/>
  <c r="BL164" i="5" s="1"/>
  <c r="BH164" i="5"/>
  <c r="BM164" i="5" s="1"/>
  <c r="BG110" i="5"/>
  <c r="BL110" i="5" s="1"/>
  <c r="BH110" i="5"/>
  <c r="BM110" i="5" s="1"/>
  <c r="BH137" i="5"/>
  <c r="BM137" i="5" s="1"/>
  <c r="BG137" i="5"/>
  <c r="BL137" i="5" s="1"/>
  <c r="BG469" i="5"/>
  <c r="BL469" i="5" s="1"/>
  <c r="BH469" i="5"/>
  <c r="BM469" i="5" s="1"/>
  <c r="BH275" i="5"/>
  <c r="BM275" i="5" s="1"/>
  <c r="BG275" i="5"/>
  <c r="BL275" i="5" s="1"/>
  <c r="BG545" i="5"/>
  <c r="BL545" i="5" s="1"/>
  <c r="BH545" i="5"/>
  <c r="BM545" i="5" s="1"/>
  <c r="BH486" i="5"/>
  <c r="BM486" i="5" s="1"/>
  <c r="BG486" i="5"/>
  <c r="BL486" i="5" s="1"/>
  <c r="BH203" i="5"/>
  <c r="BM203" i="5" s="1"/>
  <c r="BG203" i="5"/>
  <c r="BL203" i="5" s="1"/>
  <c r="BG191" i="5"/>
  <c r="BL191" i="5" s="1"/>
  <c r="BH191" i="5"/>
  <c r="BM191" i="5" s="1"/>
  <c r="BH93" i="5"/>
  <c r="BM93" i="5" s="1"/>
  <c r="BG93" i="5"/>
  <c r="BL93" i="5" s="1"/>
  <c r="BG236" i="5"/>
  <c r="BL236" i="5" s="1"/>
  <c r="BH236" i="5"/>
  <c r="BM236" i="5" s="1"/>
  <c r="BH212" i="5"/>
  <c r="BM212" i="5" s="1"/>
  <c r="BG212" i="5"/>
  <c r="BL212" i="5" s="1"/>
  <c r="BG227" i="5"/>
  <c r="BL227" i="5" s="1"/>
  <c r="BH227" i="5"/>
  <c r="BM227" i="5" s="1"/>
  <c r="BH114" i="5"/>
  <c r="BM114" i="5" s="1"/>
  <c r="BG114" i="5"/>
  <c r="BL114" i="5" s="1"/>
  <c r="BG511" i="5"/>
  <c r="BL511" i="5" s="1"/>
  <c r="BH511" i="5"/>
  <c r="BM511" i="5" s="1"/>
  <c r="BH204" i="5"/>
  <c r="BM204" i="5" s="1"/>
  <c r="BG204" i="5"/>
  <c r="BL204" i="5" s="1"/>
  <c r="BG555" i="5"/>
  <c r="BL555" i="5" s="1"/>
  <c r="BH555" i="5"/>
  <c r="BM555" i="5" s="1"/>
  <c r="BH61" i="5"/>
  <c r="BM61" i="5" s="1"/>
  <c r="BG61" i="5"/>
  <c r="BL61" i="5" s="1"/>
  <c r="BH465" i="5"/>
  <c r="BM465" i="5" s="1"/>
  <c r="BG465" i="5"/>
  <c r="BL465" i="5" s="1"/>
  <c r="BH90" i="5"/>
  <c r="BM90" i="5" s="1"/>
  <c r="BG90" i="5"/>
  <c r="BL90" i="5" s="1"/>
  <c r="BG9" i="5"/>
  <c r="BL9" i="5" s="1"/>
  <c r="BH9" i="5"/>
  <c r="BM9" i="5" s="1"/>
  <c r="BG375" i="5"/>
  <c r="BL375" i="5" s="1"/>
  <c r="BH375" i="5"/>
  <c r="BM375" i="5" s="1"/>
  <c r="BG338" i="5"/>
  <c r="BL338" i="5" s="1"/>
  <c r="BH338" i="5"/>
  <c r="BM338" i="5" s="1"/>
  <c r="BG80" i="5"/>
  <c r="BL80" i="5" s="1"/>
  <c r="BH80" i="5"/>
  <c r="BM80" i="5" s="1"/>
  <c r="BH380" i="5"/>
  <c r="BM380" i="5" s="1"/>
  <c r="BG380" i="5"/>
  <c r="BL380" i="5" s="1"/>
  <c r="BG113" i="5"/>
  <c r="BL113" i="5" s="1"/>
  <c r="BH113" i="5"/>
  <c r="BM113" i="5" s="1"/>
  <c r="BH62" i="5"/>
  <c r="BM62" i="5" s="1"/>
  <c r="BG62" i="5"/>
  <c r="BL62" i="5" s="1"/>
  <c r="BG405" i="5"/>
  <c r="BL405" i="5" s="1"/>
  <c r="BH405" i="5"/>
  <c r="BM405" i="5" s="1"/>
  <c r="BH46" i="5"/>
  <c r="BM46" i="5" s="1"/>
  <c r="BG46" i="5"/>
  <c r="BL46" i="5" s="1"/>
  <c r="BG304" i="5"/>
  <c r="BL304" i="5" s="1"/>
  <c r="BH304" i="5"/>
  <c r="BM304" i="5" s="1"/>
  <c r="BG355" i="5"/>
  <c r="BL355" i="5" s="1"/>
  <c r="BH355" i="5"/>
  <c r="BM355" i="5" s="1"/>
  <c r="BG215" i="5"/>
  <c r="BL215" i="5" s="1"/>
  <c r="BH215" i="5"/>
  <c r="BM215" i="5" s="1"/>
  <c r="BH347" i="5"/>
  <c r="BM347" i="5" s="1"/>
  <c r="BG347" i="5"/>
  <c r="BL347" i="5" s="1"/>
  <c r="BG154" i="5"/>
  <c r="BL154" i="5" s="1"/>
  <c r="BH154" i="5"/>
  <c r="BM154" i="5" s="1"/>
  <c r="BG389" i="5"/>
  <c r="BL389" i="5" s="1"/>
  <c r="BH389" i="5"/>
  <c r="BM389" i="5" s="1"/>
  <c r="BH335" i="5"/>
  <c r="BM335" i="5" s="1"/>
  <c r="BG335" i="5"/>
  <c r="BL335" i="5" s="1"/>
  <c r="BH399" i="5"/>
  <c r="BM399" i="5" s="1"/>
  <c r="BG399" i="5"/>
  <c r="BL399" i="5" s="1"/>
  <c r="BH74" i="5"/>
  <c r="BM74" i="5" s="1"/>
  <c r="BG74" i="5"/>
  <c r="BL74" i="5" s="1"/>
  <c r="BG153" i="5"/>
  <c r="BL153" i="5" s="1"/>
  <c r="BH153" i="5"/>
  <c r="BM153" i="5" s="1"/>
  <c r="BH193" i="5"/>
  <c r="BM193" i="5" s="1"/>
  <c r="BG193" i="5"/>
  <c r="BL193" i="5" s="1"/>
  <c r="BG57" i="5"/>
  <c r="BL57" i="5" s="1"/>
  <c r="BH57" i="5"/>
  <c r="BM57" i="5" s="1"/>
  <c r="BG264" i="5"/>
  <c r="BL264" i="5" s="1"/>
  <c r="BH264" i="5"/>
  <c r="BM264" i="5" s="1"/>
  <c r="BG314" i="5"/>
  <c r="BL314" i="5" s="1"/>
  <c r="BH314" i="5"/>
  <c r="BM314" i="5" s="1"/>
  <c r="BH453" i="5"/>
  <c r="BM453" i="5" s="1"/>
  <c r="BG453" i="5"/>
  <c r="BL453" i="5" s="1"/>
  <c r="BG424" i="5"/>
  <c r="BL424" i="5" s="1"/>
  <c r="BH424" i="5"/>
  <c r="BM424" i="5" s="1"/>
  <c r="BH187" i="5"/>
  <c r="BM187" i="5" s="1"/>
  <c r="BG187" i="5"/>
  <c r="BL187" i="5" s="1"/>
  <c r="BH501" i="5"/>
  <c r="BM501" i="5" s="1"/>
  <c r="BG501" i="5"/>
  <c r="BL501" i="5" s="1"/>
  <c r="BH247" i="5"/>
  <c r="BM247" i="5" s="1"/>
  <c r="BG247" i="5"/>
  <c r="BL247" i="5" s="1"/>
  <c r="BG201" i="5"/>
  <c r="BL201" i="5" s="1"/>
  <c r="BH201" i="5"/>
  <c r="BM201" i="5" s="1"/>
  <c r="BH178" i="5"/>
  <c r="BM178" i="5" s="1"/>
  <c r="BG178" i="5"/>
  <c r="BL178" i="5" s="1"/>
  <c r="BH79" i="5"/>
  <c r="BM79" i="5" s="1"/>
  <c r="BG79" i="5"/>
  <c r="BL79" i="5" s="1"/>
  <c r="BG36" i="5"/>
  <c r="BL36" i="5" s="1"/>
  <c r="BH36" i="5"/>
  <c r="BM36" i="5" s="1"/>
  <c r="BH362" i="5"/>
  <c r="BM362" i="5" s="1"/>
  <c r="BG362" i="5"/>
  <c r="BL362" i="5" s="1"/>
  <c r="BG445" i="5"/>
  <c r="BL445" i="5" s="1"/>
  <c r="BH445" i="5"/>
  <c r="BM445" i="5" s="1"/>
  <c r="BG326" i="5"/>
  <c r="BL326" i="5" s="1"/>
  <c r="BH326" i="5"/>
  <c r="BM326" i="5" s="1"/>
  <c r="BG455" i="5"/>
  <c r="BL455" i="5" s="1"/>
  <c r="BH455" i="5"/>
  <c r="BM455" i="5" s="1"/>
  <c r="BH111" i="5"/>
  <c r="BM111" i="5" s="1"/>
  <c r="BG111" i="5"/>
  <c r="BL111" i="5" s="1"/>
  <c r="BH273" i="5"/>
  <c r="BM273" i="5" s="1"/>
  <c r="BG273" i="5"/>
  <c r="BL273" i="5" s="1"/>
  <c r="BG165" i="5"/>
  <c r="BL165" i="5" s="1"/>
  <c r="BH165" i="5"/>
  <c r="BM165" i="5" s="1"/>
  <c r="BH148" i="5"/>
  <c r="BM148" i="5" s="1"/>
  <c r="BG148" i="5"/>
  <c r="BL148" i="5" s="1"/>
  <c r="BG175" i="5"/>
  <c r="BL175" i="5" s="1"/>
  <c r="BH175" i="5"/>
  <c r="BM175" i="5" s="1"/>
  <c r="BH416" i="5"/>
  <c r="BM416" i="5" s="1"/>
  <c r="BG416" i="5"/>
  <c r="BL416" i="5" s="1"/>
  <c r="BH319" i="5"/>
  <c r="BM319" i="5" s="1"/>
  <c r="BG319" i="5"/>
  <c r="BL319" i="5" s="1"/>
  <c r="BH462" i="5"/>
  <c r="BM462" i="5" s="1"/>
  <c r="BG462" i="5"/>
  <c r="BL462" i="5" s="1"/>
  <c r="BG468" i="5"/>
  <c r="BL468" i="5" s="1"/>
  <c r="BH468" i="5"/>
  <c r="BM468" i="5" s="1"/>
  <c r="BH315" i="5"/>
  <c r="BM315" i="5" s="1"/>
  <c r="BG315" i="5"/>
  <c r="BL315" i="5" s="1"/>
  <c r="BG367" i="5"/>
  <c r="BL367" i="5" s="1"/>
  <c r="BH367" i="5"/>
  <c r="BM367" i="5" s="1"/>
  <c r="BH138" i="5"/>
  <c r="BM138" i="5" s="1"/>
  <c r="BG138" i="5"/>
  <c r="BL138" i="5" s="1"/>
  <c r="BG266" i="5"/>
  <c r="BL266" i="5" s="1"/>
  <c r="BH266" i="5"/>
  <c r="BM266" i="5" s="1"/>
  <c r="BG535" i="5"/>
  <c r="BL535" i="5" s="1"/>
  <c r="BH535" i="5"/>
  <c r="BM535" i="5" s="1"/>
  <c r="BH277" i="5"/>
  <c r="BM277" i="5" s="1"/>
  <c r="BG277" i="5"/>
  <c r="BL277" i="5" s="1"/>
  <c r="BG542" i="5"/>
  <c r="BL542" i="5" s="1"/>
  <c r="BH542" i="5"/>
  <c r="BM542" i="5" s="1"/>
  <c r="BH28" i="5"/>
  <c r="BM28" i="5" s="1"/>
  <c r="BG28" i="5"/>
  <c r="BL28" i="5" s="1"/>
  <c r="BG454" i="5"/>
  <c r="BL454" i="5" s="1"/>
  <c r="BH454" i="5"/>
  <c r="BM454" i="5" s="1"/>
  <c r="BG336" i="5"/>
  <c r="BL336" i="5" s="1"/>
  <c r="BH336" i="5"/>
  <c r="BM336" i="5" s="1"/>
  <c r="BG152" i="5"/>
  <c r="BL152" i="5" s="1"/>
  <c r="BH152" i="5"/>
  <c r="BM152" i="5" s="1"/>
  <c r="BH143" i="5"/>
  <c r="BM143" i="5" s="1"/>
  <c r="BG143" i="5"/>
  <c r="BL143" i="5" s="1"/>
  <c r="BG497" i="5"/>
  <c r="BL497" i="5" s="1"/>
  <c r="BH497" i="5"/>
  <c r="BM497" i="5" s="1"/>
  <c r="BG130" i="5"/>
  <c r="BL130" i="5" s="1"/>
  <c r="BH130" i="5"/>
  <c r="BM130" i="5" s="1"/>
  <c r="BG100" i="5"/>
  <c r="BL100" i="5" s="1"/>
  <c r="BH100" i="5"/>
  <c r="BM100" i="5" s="1"/>
  <c r="BG68" i="5"/>
  <c r="BL68" i="5" s="1"/>
  <c r="BH68" i="5"/>
  <c r="BM68" i="5" s="1"/>
  <c r="BG271" i="5"/>
  <c r="BL271" i="5" s="1"/>
  <c r="BH271" i="5"/>
  <c r="BM271" i="5" s="1"/>
  <c r="BG487" i="5"/>
  <c r="BL487" i="5" s="1"/>
  <c r="BH487" i="5"/>
  <c r="BM487" i="5" s="1"/>
  <c r="BG381" i="5"/>
  <c r="BL381" i="5" s="1"/>
  <c r="BH381" i="5"/>
  <c r="BM381" i="5" s="1"/>
  <c r="BG29" i="5"/>
  <c r="BL29" i="5" s="1"/>
  <c r="BH29" i="5"/>
  <c r="BM29" i="5" s="1"/>
  <c r="BH32" i="5"/>
  <c r="BM32" i="5" s="1"/>
  <c r="BG32" i="5"/>
  <c r="BL32" i="5" s="1"/>
  <c r="BH293" i="5"/>
  <c r="BM293" i="5" s="1"/>
  <c r="BG293" i="5"/>
  <c r="BL293" i="5" s="1"/>
  <c r="BG73" i="5"/>
  <c r="BL73" i="5" s="1"/>
  <c r="BH73" i="5"/>
  <c r="BM73" i="5" s="1"/>
  <c r="BG515" i="5"/>
  <c r="BL515" i="5" s="1"/>
  <c r="BH515" i="5"/>
  <c r="BM515" i="5" s="1"/>
  <c r="BG485" i="5"/>
  <c r="BL485" i="5" s="1"/>
  <c r="BH485" i="5"/>
  <c r="BM485" i="5" s="1"/>
  <c r="BH81" i="5"/>
  <c r="BM81" i="5" s="1"/>
  <c r="BG81" i="5"/>
  <c r="BL81" i="5" s="1"/>
  <c r="BH330" i="5"/>
  <c r="BM330" i="5" s="1"/>
  <c r="BG330" i="5"/>
  <c r="BL330" i="5" s="1"/>
  <c r="BH147" i="5"/>
  <c r="BM147" i="5" s="1"/>
  <c r="BG147" i="5"/>
  <c r="BL147" i="5" s="1"/>
  <c r="BG400" i="5"/>
  <c r="BL400" i="5" s="1"/>
  <c r="BH400" i="5"/>
  <c r="BM400" i="5" s="1"/>
  <c r="BG502" i="5"/>
  <c r="BL502" i="5" s="1"/>
  <c r="BH502" i="5"/>
  <c r="BM502" i="5" s="1"/>
  <c r="BH107" i="5"/>
  <c r="BM107" i="5" s="1"/>
  <c r="BG107" i="5"/>
  <c r="BL107" i="5" s="1"/>
  <c r="BH360" i="5"/>
  <c r="BM360" i="5" s="1"/>
  <c r="BG360" i="5"/>
  <c r="BL360" i="5" s="1"/>
  <c r="BH521" i="5"/>
  <c r="BM521" i="5" s="1"/>
  <c r="BG521" i="5"/>
  <c r="BL521" i="5" s="1"/>
  <c r="BH115" i="5"/>
  <c r="BM115" i="5" s="1"/>
  <c r="BG115" i="5"/>
  <c r="BL115" i="5" s="1"/>
  <c r="BG77" i="5"/>
  <c r="BL77" i="5" s="1"/>
  <c r="BH77" i="5"/>
  <c r="BM77" i="5" s="1"/>
  <c r="BG364" i="5"/>
  <c r="BL364" i="5" s="1"/>
  <c r="BH364" i="5"/>
  <c r="BM364" i="5" s="1"/>
  <c r="BG60" i="5"/>
  <c r="BL60" i="5" s="1"/>
  <c r="BH60" i="5"/>
  <c r="BM60" i="5" s="1"/>
  <c r="BG200" i="5"/>
  <c r="BL200" i="5" s="1"/>
  <c r="BH200" i="5"/>
  <c r="BM200" i="5" s="1"/>
  <c r="BG163" i="5"/>
  <c r="BL163" i="5" s="1"/>
  <c r="BH163" i="5"/>
  <c r="BM163" i="5" s="1"/>
  <c r="BG491" i="5"/>
  <c r="BL491" i="5" s="1"/>
  <c r="BH491" i="5"/>
  <c r="BM491" i="5" s="1"/>
  <c r="BH426" i="5"/>
  <c r="BM426" i="5" s="1"/>
  <c r="BG426" i="5"/>
  <c r="BL426" i="5" s="1"/>
  <c r="BH290" i="5"/>
  <c r="BM290" i="5" s="1"/>
  <c r="BG290" i="5"/>
  <c r="BL290" i="5" s="1"/>
  <c r="BG243" i="5"/>
  <c r="BL243" i="5" s="1"/>
  <c r="BH243" i="5"/>
  <c r="BM243" i="5" s="1"/>
  <c r="BH88" i="5"/>
  <c r="BM88" i="5" s="1"/>
  <c r="BG88" i="5"/>
  <c r="BL88" i="5" s="1"/>
  <c r="BH431" i="5"/>
  <c r="BM431" i="5" s="1"/>
  <c r="BG431" i="5"/>
  <c r="BL431" i="5" s="1"/>
  <c r="BG44" i="5"/>
  <c r="BL44" i="5" s="1"/>
  <c r="BH44" i="5"/>
  <c r="BM44" i="5" s="1"/>
  <c r="BH117" i="5"/>
  <c r="BM117" i="5" s="1"/>
  <c r="BG117" i="5"/>
  <c r="BL117" i="5" s="1"/>
  <c r="BG428" i="5"/>
  <c r="BL428" i="5" s="1"/>
  <c r="BH428" i="5"/>
  <c r="BM428" i="5" s="1"/>
  <c r="BG547" i="5"/>
  <c r="BL547" i="5" s="1"/>
  <c r="BH547" i="5"/>
  <c r="BM547" i="5" s="1"/>
  <c r="BH53" i="5"/>
  <c r="BM53" i="5" s="1"/>
  <c r="BG53" i="5"/>
  <c r="BL53" i="5" s="1"/>
  <c r="BG512" i="5"/>
  <c r="BL512" i="5" s="1"/>
  <c r="BH512" i="5"/>
  <c r="BM512" i="5" s="1"/>
  <c r="BF11" i="5"/>
  <c r="BG150" i="5"/>
  <c r="BL150" i="5" s="1"/>
  <c r="BH150" i="5"/>
  <c r="BM150" i="5" s="1"/>
  <c r="BG549" i="5"/>
  <c r="BL549" i="5" s="1"/>
  <c r="BH549" i="5"/>
  <c r="BM549" i="5" s="1"/>
  <c r="BH372" i="5"/>
  <c r="BM372" i="5" s="1"/>
  <c r="BG372" i="5"/>
  <c r="BL372" i="5" s="1"/>
  <c r="BH503" i="5"/>
  <c r="BM503" i="5" s="1"/>
  <c r="BG503" i="5"/>
  <c r="BL503" i="5" s="1"/>
  <c r="BG106" i="5"/>
  <c r="BL106" i="5" s="1"/>
  <c r="BH106" i="5"/>
  <c r="BM106" i="5" s="1"/>
  <c r="BG308" i="5"/>
  <c r="BL308" i="5" s="1"/>
  <c r="BH308" i="5"/>
  <c r="BM308" i="5" s="1"/>
  <c r="BG208" i="5"/>
  <c r="BL208" i="5" s="1"/>
  <c r="BH208" i="5"/>
  <c r="BM208" i="5" s="1"/>
  <c r="BG139" i="5"/>
  <c r="BL139" i="5" s="1"/>
  <c r="BH139" i="5"/>
  <c r="BM139" i="5" s="1"/>
  <c r="BG519" i="5"/>
  <c r="BL519" i="5" s="1"/>
  <c r="BH519" i="5"/>
  <c r="BM519" i="5" s="1"/>
  <c r="BG122" i="5"/>
  <c r="BL122" i="5" s="1"/>
  <c r="BH122" i="5"/>
  <c r="BM122" i="5" s="1"/>
  <c r="BG134" i="5"/>
  <c r="BL134" i="5" s="1"/>
  <c r="BH134" i="5"/>
  <c r="BM134" i="5" s="1"/>
  <c r="BH513" i="5"/>
  <c r="BM513" i="5" s="1"/>
  <c r="BG513" i="5"/>
  <c r="BL513" i="5" s="1"/>
  <c r="BG265" i="5"/>
  <c r="BL265" i="5" s="1"/>
  <c r="BH265" i="5"/>
  <c r="BM265" i="5" s="1"/>
  <c r="BH45" i="5"/>
  <c r="BM45" i="5" s="1"/>
  <c r="BG45" i="5"/>
  <c r="BL45" i="5" s="1"/>
  <c r="BG141" i="5"/>
  <c r="BL141" i="5" s="1"/>
  <c r="BH141" i="5"/>
  <c r="BM141" i="5" s="1"/>
  <c r="BH260" i="5"/>
  <c r="BM260" i="5" s="1"/>
  <c r="BG260" i="5"/>
  <c r="BL260" i="5" s="1"/>
  <c r="BH459" i="5"/>
  <c r="BM459" i="5" s="1"/>
  <c r="BG459" i="5"/>
  <c r="BL459" i="5" s="1"/>
  <c r="BG50" i="5"/>
  <c r="BL50" i="5" s="1"/>
  <c r="BH50" i="5"/>
  <c r="BM50" i="5" s="1"/>
  <c r="BG261" i="5"/>
  <c r="BL261" i="5" s="1"/>
  <c r="BH261" i="5"/>
  <c r="BM261" i="5" s="1"/>
  <c r="BH206" i="5"/>
  <c r="BM206" i="5" s="1"/>
  <c r="BG206" i="5"/>
  <c r="BL206" i="5" s="1"/>
  <c r="BH368" i="5"/>
  <c r="BM368" i="5" s="1"/>
  <c r="BG368" i="5"/>
  <c r="BL368" i="5" s="1"/>
  <c r="BH478" i="5"/>
  <c r="BM478" i="5" s="1"/>
  <c r="BG478" i="5"/>
  <c r="BL478" i="5" s="1"/>
  <c r="BH385" i="5"/>
  <c r="BM385" i="5" s="1"/>
  <c r="BG385" i="5"/>
  <c r="BL385" i="5" s="1"/>
  <c r="BG391" i="5"/>
  <c r="BL391" i="5" s="1"/>
  <c r="BH391" i="5"/>
  <c r="BM391" i="5" s="1"/>
  <c r="BG384" i="5"/>
  <c r="BL384" i="5" s="1"/>
  <c r="BH384" i="5"/>
  <c r="BM384" i="5" s="1"/>
  <c r="BG69" i="5"/>
  <c r="BL69" i="5" s="1"/>
  <c r="BH69" i="5"/>
  <c r="BM69" i="5" s="1"/>
  <c r="AU50" i="4" l="1"/>
  <c r="AW50" i="4" s="1"/>
  <c r="AU26" i="4"/>
  <c r="AW26" i="4" s="1"/>
  <c r="AU40" i="4"/>
  <c r="AW40" i="4" s="1"/>
  <c r="AU62" i="4"/>
  <c r="AW62" i="4" s="1"/>
  <c r="AU64" i="4"/>
  <c r="AW64" i="4" s="1"/>
  <c r="AU42" i="4"/>
  <c r="AW42" i="4" s="1"/>
  <c r="AU45" i="4"/>
  <c r="AW45" i="4" s="1"/>
  <c r="AQ65" i="4"/>
  <c r="AP65" i="4"/>
  <c r="AC65" i="4"/>
  <c r="AD65" i="4" s="1"/>
  <c r="AQ59" i="4"/>
  <c r="AC59" i="4"/>
  <c r="AD59" i="4" s="1"/>
  <c r="AP59" i="4"/>
  <c r="AQ63" i="4"/>
  <c r="AC63" i="4"/>
  <c r="AD63" i="4" s="1"/>
  <c r="AP63" i="4"/>
  <c r="AU32" i="4"/>
  <c r="AW32" i="4" s="1"/>
  <c r="AQ60" i="4"/>
  <c r="AP60" i="4"/>
  <c r="AC60" i="4"/>
  <c r="AD60" i="4" s="1"/>
  <c r="AC61" i="4"/>
  <c r="AD61" i="4" s="1"/>
  <c r="AQ61" i="4"/>
  <c r="AP61" i="4"/>
  <c r="AP55" i="4"/>
  <c r="AQ55" i="4"/>
  <c r="AC55" i="4"/>
  <c r="AD55" i="4" s="1"/>
  <c r="AQ57" i="4"/>
  <c r="AC57" i="4"/>
  <c r="AD57" i="4" s="1"/>
  <c r="AP57" i="4"/>
  <c r="AQ54" i="4"/>
  <c r="AC54" i="4"/>
  <c r="AD54" i="4" s="1"/>
  <c r="AP54" i="4"/>
  <c r="BK11" i="5"/>
  <c r="BJ11" i="5"/>
  <c r="BG11" i="5"/>
  <c r="BL11" i="5" s="1"/>
  <c r="BH11" i="5"/>
  <c r="BM11" i="5" s="1"/>
  <c r="AU54" i="4" l="1"/>
  <c r="AW54" i="4" s="1"/>
  <c r="AU59" i="4"/>
  <c r="AW59" i="4" s="1"/>
  <c r="AU57" i="4"/>
  <c r="AW57" i="4" s="1"/>
  <c r="AU63" i="4"/>
  <c r="AW63" i="4" s="1"/>
  <c r="AU61" i="4"/>
  <c r="AW61" i="4" s="1"/>
  <c r="AU65" i="4"/>
  <c r="AW65" i="4" s="1"/>
  <c r="AU55" i="4"/>
  <c r="AW55" i="4" s="1"/>
  <c r="AU60" i="4"/>
  <c r="AW6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LM5127 Design Tool</t>
        </r>
        <r>
          <rPr>
            <sz val="9"/>
            <color indexed="81"/>
            <rFont val="Tahoma"/>
            <family val="2"/>
          </rPr>
          <t xml:space="preserve">
This stand-alone tool facilitates and assists the power supply engineer with design of a DC-DC boost converter based on the LM5127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H12" authorId="0" shapeId="0" xr:uid="{00000000-0006-0000-0000-000003000000}">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20" authorId="0" shapeId="0" xr:uid="{00000000-0006-0000-0000-000004000000}">
      <text>
        <r>
          <rPr>
            <b/>
            <sz val="9"/>
            <color indexed="81"/>
            <rFont val="Tahoma"/>
            <family val="2"/>
          </rPr>
          <t xml:space="preserve">If this cell shows:
CCM: </t>
        </r>
        <r>
          <rPr>
            <sz val="9"/>
            <color indexed="81"/>
            <rFont val="Tahoma"/>
            <family val="2"/>
          </rPr>
          <t>The step up ratio from the minimum supply voltage to the load voltage can be achieved without exceeding the maximum duty cycle. Continous conduction mode is possilbe at the minimum supply voltage.</t>
        </r>
        <r>
          <rPr>
            <b/>
            <sz val="9"/>
            <color indexed="81"/>
            <rFont val="Tahoma"/>
            <family val="2"/>
          </rPr>
          <t xml:space="preserve">
DCM: </t>
        </r>
        <r>
          <rPr>
            <sz val="9"/>
            <color indexed="81"/>
            <rFont val="Tahoma"/>
            <family val="2"/>
          </rPr>
          <t>Discontinous conduction mode at the minimum supply voltage must be used as the duty cycle exceeds the maximum of the IC. This will result in higher peak inductor currents and lower efficiency. If this occurs, it is possible to decrease the switching frequency to increase the maximum duty cycle.</t>
        </r>
      </text>
    </comment>
    <comment ref="H57" authorId="0" shapeId="0" xr:uid="{00000000-0006-0000-0000-000005000000}">
      <text>
        <r>
          <rPr>
            <b/>
            <sz val="9"/>
            <color indexed="81"/>
            <rFont val="Tahoma"/>
            <family val="2"/>
          </rPr>
          <t xml:space="preserve">TRK Pin Voltage:
</t>
        </r>
        <r>
          <rPr>
            <sz val="9"/>
            <color indexed="81"/>
            <rFont val="Tahoma"/>
            <family val="2"/>
          </rPr>
          <t xml:space="preserve">
This is the voltage seen at the TRK pin when regulation to the load voltage. The TRK pin can be driven from an external voltage source or it can be supplied through a resistor divider from the REF pin. 
</t>
        </r>
      </text>
    </comment>
    <comment ref="H60" authorId="0" shapeId="0" xr:uid="{00000000-0006-0000-0000-000006000000}">
      <text>
        <r>
          <rPr>
            <b/>
            <sz val="9"/>
            <color indexed="81"/>
            <rFont val="Tahoma"/>
            <family val="2"/>
          </rPr>
          <t xml:space="preserve">RVREFT selection
</t>
        </r>
        <r>
          <rPr>
            <sz val="9"/>
            <color indexed="81"/>
            <rFont val="Tahoma"/>
            <family val="2"/>
          </rPr>
          <t xml:space="preserve">Select the a resistor value between RVREFT_min and VREFT_max. This will set the LM5123 to be in the correct output voltage range for the application.
</t>
        </r>
      </text>
    </comment>
    <comment ref="H62" authorId="0" shapeId="0" xr:uid="{00000000-0006-0000-0000-000007000000}">
      <text>
        <r>
          <rPr>
            <b/>
            <sz val="9"/>
            <color indexed="81"/>
            <rFont val="Tahoma"/>
            <family val="2"/>
          </rPr>
          <t xml:space="preserve">RVREFB Selection
</t>
        </r>
        <r>
          <rPr>
            <sz val="9"/>
            <color indexed="81"/>
            <rFont val="Tahoma"/>
            <family val="2"/>
          </rPr>
          <t xml:space="preserve">This value should be the same value as the VREFB_calc value. This sets the load voltage of the boost controler 
</t>
        </r>
      </text>
    </comment>
    <comment ref="H65" authorId="0" shapeId="0" xr:uid="{00000000-0006-0000-0000-000008000000}">
      <text>
        <r>
          <rPr>
            <b/>
            <sz val="9"/>
            <color indexed="81"/>
            <rFont val="Tahoma"/>
            <family val="2"/>
          </rPr>
          <t>Control Loop Bandwidth</t>
        </r>
        <r>
          <rPr>
            <sz val="9"/>
            <color indexed="81"/>
            <rFont val="Tahoma"/>
            <family val="2"/>
          </rPr>
          <t xml:space="preserve">
This sets the bandwidth of the control loop. In a boost controler the RHP zero of the plant transfer function limits the maximum value of the control loop bandwidth. It is recommended to not exceed 1/5th the RHP zero frequency. The FCO_calc value calculates the 1/5th the RHP zero frequency. It is recommend to not exceed the FCO_calc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93" authorId="0" shapeId="0" xr:uid="{00000000-0006-0000-0100-000001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94" authorId="0" shapeId="0" xr:uid="{00000000-0006-0000-0100-000002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<sst xmlns="http://schemas.openxmlformats.org/spreadsheetml/2006/main" count="1065" uniqueCount="610">
  <si>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</si>
  <si>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</si>
  <si>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</si>
  <si>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</si>
  <si>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</si>
  <si>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</si>
  <si>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</si>
  <si>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</si>
  <si>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</si>
  <si>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</si>
  <si>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</si>
  <si>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</si>
  <si>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</si>
  <si>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</si>
  <si>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</si>
  <si>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</si>
  <si>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</si>
  <si>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</si>
  <si>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</si>
  <si>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</si>
  <si>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</si>
  <si>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</si>
  <si>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</si>
  <si>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</si>
  <si>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</si>
  <si>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</si>
  <si>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</si>
  <si>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</si>
  <si>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</si>
  <si>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</si>
  <si>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</si>
  <si>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</si>
  <si>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</si>
  <si>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</si>
  <si>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</si>
  <si>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</si>
  <si>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</si>
  <si>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</si>
  <si>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</si>
  <si>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</si>
  <si>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</si>
  <si>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</si>
  <si>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</si>
  <si>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</si>
  <si>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</si>
  <si>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</si>
  <si>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</si>
  <si>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</si>
  <si>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</si>
  <si>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</si>
  <si>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</si>
  <si>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</si>
  <si>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</si>
  <si>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</si>
  <si>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</si>
  <si>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</si>
  <si>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</si>
  <si>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</si>
  <si>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</si>
  <si>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</si>
  <si>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</si>
  <si>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</si>
  <si>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</si>
  <si>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</si>
  <si>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</si>
  <si>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</si>
  <si>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</si>
  <si>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</si>
  <si>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</si>
  <si>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</si>
  <si>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</si>
  <si>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</si>
  <si>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</si>
  <si>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</si>
  <si>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</si>
  <si>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</si>
  <si>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</si>
  <si>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</si>
  <si>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</si>
  <si>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</si>
  <si>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ton_min</t>
  </si>
  <si>
    <t>Typical Ton minimum value</t>
  </si>
  <si>
    <t>IL_avg_VIN_min</t>
  </si>
  <si>
    <t>IL_avg_VIN_nom</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</si>
  <si>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</si>
  <si>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</si>
  <si>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</si>
  <si>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</si>
  <si>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</si>
  <si>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</si>
  <si>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</si>
  <si>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</si>
  <si>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</si>
  <si>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</si>
  <si>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</si>
  <si>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</si>
  <si>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</si>
  <si>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</si>
  <si>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</si>
  <si>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</si>
  <si>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</si>
  <si>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</si>
  <si>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</si>
  <si>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</si>
  <si>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</si>
  <si>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</si>
  <si>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</si>
  <si>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</si>
  <si>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</si>
  <si>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</si>
  <si>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</si>
  <si>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</si>
  <si>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</si>
  <si>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</si>
  <si>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</si>
  <si>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</si>
  <si>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</si>
  <si>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</si>
  <si>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</si>
  <si>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</si>
  <si>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</si>
  <si>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</si>
  <si>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</si>
  <si>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</si>
  <si>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</si>
  <si>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</si>
  <si>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</si>
  <si>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Isl</t>
  </si>
  <si>
    <t>Internal slope compensation ramp</t>
  </si>
  <si>
    <t>Rsl_int</t>
  </si>
  <si>
    <t>Internal Slope compensation resistor</t>
  </si>
  <si>
    <t>Rcs_wo_sl</t>
  </si>
  <si>
    <t>Vcl</t>
  </si>
  <si>
    <t>Current Limit Value. See datsheet for Parameters</t>
  </si>
  <si>
    <t>Flag_ext_sl</t>
  </si>
  <si>
    <t>R_cs_calc</t>
  </si>
  <si>
    <t>R_sl_calc</t>
  </si>
  <si>
    <t>R_cs</t>
  </si>
  <si>
    <t>R_sl</t>
  </si>
  <si>
    <t>Selected current sense Resistor</t>
  </si>
  <si>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</si>
  <si>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</si>
  <si>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</si>
  <si>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</si>
  <si>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</si>
  <si>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</si>
  <si>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</si>
  <si>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</si>
  <si>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</si>
  <si>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</si>
  <si>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</si>
  <si>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</si>
  <si>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</si>
  <si>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</si>
  <si>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Step 4: Output Capacitor Selection</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</si>
  <si>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</si>
  <si>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</si>
  <si>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</si>
  <si>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</si>
  <si>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</si>
  <si>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</si>
  <si>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</si>
  <si>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</si>
  <si>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</si>
  <si>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</si>
  <si>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</si>
  <si>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</si>
  <si>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</si>
  <si>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</si>
  <si>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</si>
  <si>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</si>
  <si>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</si>
  <si>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</si>
  <si>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</si>
  <si>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</si>
  <si>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</si>
  <si>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</si>
  <si>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</si>
  <si>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Interanl Slope Compesnation Resistor</t>
  </si>
  <si>
    <t>Interanl Slope Compesnation current</t>
  </si>
  <si>
    <t>RCOMP</t>
  </si>
  <si>
    <t>kΩ</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</si>
  <si>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</si>
  <si>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</si>
  <si>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</si>
  <si>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</si>
  <si>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</si>
  <si>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</si>
  <si>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</si>
  <si>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</si>
  <si>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</si>
  <si>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</si>
  <si>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</si>
  <si>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</si>
  <si>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</si>
  <si>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</si>
  <si>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</si>
  <si>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</si>
  <si>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</si>
  <si>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</si>
  <si>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</si>
  <si>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</si>
  <si>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</si>
  <si>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</si>
  <si>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</si>
  <si>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</si>
  <si>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</si>
  <si>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</si>
  <si>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</si>
  <si>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</si>
  <si>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</si>
  <si>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</si>
  <si>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</si>
  <si>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</si>
  <si>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</si>
  <si>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</si>
  <si>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</si>
  <si>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</si>
  <si>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</si>
  <si>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</si>
  <si>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</si>
  <si>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</si>
  <si>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</si>
  <si>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</si>
  <si>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</si>
  <si>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</si>
  <si>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</si>
  <si>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</si>
  <si>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</si>
  <si>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</si>
  <si>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</si>
  <si>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</si>
  <si>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</si>
  <si>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</si>
  <si>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</si>
  <si>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</si>
  <si>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</si>
  <si>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</si>
  <si>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</si>
  <si>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</si>
  <si>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</si>
  <si>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</si>
  <si>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</si>
  <si>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</si>
  <si>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</si>
  <si>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</si>
  <si>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</si>
  <si>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</si>
  <si>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</si>
  <si>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</si>
  <si>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</si>
  <si>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</si>
  <si>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</si>
  <si>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</si>
  <si>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t>
  </si>
  <si>
    <t>Desired Crossover frequency</t>
  </si>
  <si>
    <t>1/10 the swictching frequency</t>
  </si>
  <si>
    <t>Select the lower crossover frequency</t>
  </si>
  <si>
    <t>wz_RHP</t>
  </si>
  <si>
    <t>Rcomp_Calc</t>
  </si>
  <si>
    <t>Calculate on based on the desired Mid-band gain needed to set the crossover frequency</t>
  </si>
  <si>
    <t>fz_ea_est</t>
  </si>
  <si>
    <t>CCOMP_calc</t>
  </si>
  <si>
    <t>fp_ea_est</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</si>
  <si>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</si>
  <si>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</si>
  <si>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</si>
  <si>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</si>
  <si>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</si>
  <si>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</si>
  <si>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</si>
  <si>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</si>
  <si>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</si>
  <si>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</si>
  <si>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</si>
  <si>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</si>
  <si>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</si>
  <si>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</si>
  <si>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</si>
  <si>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</si>
  <si>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</si>
  <si>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</si>
  <si>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</si>
  <si>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</si>
  <si>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</si>
  <si>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</si>
  <si>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</si>
  <si>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</si>
  <si>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</si>
  <si>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</si>
  <si>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</si>
  <si>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</si>
  <si>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</si>
  <si>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</si>
  <si>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</si>
  <si>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</si>
  <si>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</si>
  <si>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</si>
  <si>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</si>
  <si>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</si>
  <si>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</si>
  <si>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</si>
  <si>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</si>
  <si>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</si>
  <si>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</si>
  <si>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</si>
  <si>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</si>
  <si>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</si>
  <si>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</si>
  <si>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</si>
  <si>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</si>
  <si>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</si>
  <si>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</si>
  <si>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</si>
  <si>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</si>
  <si>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</si>
  <si>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</si>
  <si>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</si>
  <si>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</si>
  <si>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</si>
  <si>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t>Step 7: Component Selection</t>
  </si>
  <si>
    <t>Vd_rect</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</si>
  <si>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</si>
  <si>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</si>
  <si>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</si>
  <si>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</si>
  <si>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</si>
  <si>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</si>
  <si>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</si>
  <si>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</si>
  <si>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</si>
  <si>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</si>
  <si>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</si>
  <si>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</si>
  <si>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</si>
  <si>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</si>
  <si>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</si>
  <si>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</si>
  <si>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</si>
  <si>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Qg_tot</t>
  </si>
  <si>
    <t>Qgs</t>
  </si>
  <si>
    <t>Qgd</t>
  </si>
  <si>
    <t>Rgate</t>
  </si>
  <si>
    <t>gfs</t>
  </si>
  <si>
    <t>Vth</t>
  </si>
  <si>
    <t>C</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</si>
  <si>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</si>
  <si>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</si>
  <si>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</si>
  <si>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</si>
  <si>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</si>
  <si>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</si>
  <si>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</si>
  <si>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</si>
  <si>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</si>
  <si>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</si>
  <si>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</si>
  <si>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</si>
  <si>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</si>
  <si>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</si>
  <si>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</si>
  <si>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</si>
  <si>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</si>
  <si>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</si>
  <si>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</si>
  <si>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</si>
  <si>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</si>
  <si>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</si>
  <si>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</si>
  <si>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</si>
  <si>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</si>
  <si>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</si>
  <si>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</si>
  <si>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</si>
  <si>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</si>
  <si>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</si>
  <si>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</si>
  <si>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</si>
  <si>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</si>
  <si>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Inductor</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</si>
  <si>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</si>
  <si>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</si>
  <si>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</si>
  <si>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</si>
  <si>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</si>
  <si>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</si>
  <si>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</si>
  <si>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</si>
  <si>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</si>
  <si>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</si>
  <si>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</si>
  <si>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</si>
  <si>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</si>
  <si>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</si>
  <si>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</si>
  <si>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</si>
  <si>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</si>
  <si>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</si>
  <si>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</si>
  <si>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</si>
  <si>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</si>
  <si>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</si>
  <si>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</si>
  <si>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</si>
  <si>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</si>
  <si>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</si>
  <si>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</si>
  <si>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</si>
  <si>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</si>
  <si>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</si>
  <si>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</si>
  <si>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</si>
  <si>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</si>
  <si>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</si>
  <si>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</si>
  <si>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</si>
  <si>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</si>
  <si>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</si>
  <si>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</si>
  <si>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</si>
  <si>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Maximum duty cycle at the minimum input voltage. Includes estimated efficiency for margin</t>
  </si>
  <si>
    <t>Duty cycle at the mimum input voltage (CCM). (First order/ ideal equation)</t>
  </si>
  <si>
    <t>Duty cycle at the nominal input voltage (CCM) (First order/ ideal equation)</t>
  </si>
  <si>
    <t>Duty cycle at the maximum input voltage (CCM) (First order/ ideal equation)</t>
  </si>
  <si>
    <t>DCM_Flag</t>
  </si>
  <si>
    <t>DC_rip</t>
  </si>
  <si>
    <t>CCM Operation calculations</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</si>
  <si>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</si>
  <si>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</si>
  <si>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</si>
  <si>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</si>
  <si>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</si>
  <si>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</si>
  <si>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</si>
  <si>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</si>
  <si>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</si>
  <si>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</si>
  <si>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</si>
  <si>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</si>
  <si>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</si>
  <si>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This value used to make the selection for CCM calculations</t>
  </si>
  <si>
    <t>Duty Cycle Calculations</t>
  </si>
  <si>
    <t>Minium input voltage</t>
  </si>
  <si>
    <t>DCc_mode_VIN_min</t>
  </si>
  <si>
    <t>DCc_mode_VIN_nom</t>
  </si>
  <si>
    <t>DCc_mode_VIN_max</t>
  </si>
  <si>
    <t>IL_avg_VIN_max</t>
  </si>
  <si>
    <t>Current Sense Resistor calculated, id DCM this is going to be the value calculated without slope compensation</t>
  </si>
  <si>
    <t>External Compensation? (0-no, 1-yes), Only accurate for CCM as DCM doesn't need slope compensation</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</si>
  <si>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</si>
  <si>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</si>
  <si>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</si>
  <si>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</si>
  <si>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</si>
  <si>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</si>
  <si>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</si>
  <si>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</si>
  <si>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</si>
  <si>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</si>
  <si>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</si>
  <si>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</si>
  <si>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</si>
  <si>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</si>
  <si>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</si>
  <si>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r>
      <t xml:space="preserve">Conservative. Set Fcross to be 1/5th the RHP zero frequency or 1/10th SW: whichever is lower. </t>
    </r>
    <r>
      <rPr>
        <b/>
        <sz val="11"/>
        <color theme="1"/>
        <rFont val="Calibri"/>
        <family val="2"/>
        <scheme val="minor"/>
      </rPr>
      <t>Note this is just for CCM operation</t>
    </r>
  </si>
  <si>
    <t>General Loop Selections</t>
  </si>
  <si>
    <t>Rcomp_Calc_DCM</t>
  </si>
  <si>
    <t>Calcualted based on the desired Zero frequency. Set at the geometric mean between the crossover frequency and the load pole</t>
  </si>
  <si>
    <t>Calcualted based on the RHP zero frequency</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</si>
  <si>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</si>
  <si>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</si>
  <si>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</si>
  <si>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</si>
  <si>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</si>
  <si>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</si>
  <si>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</si>
  <si>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</si>
  <si>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</si>
  <si>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</si>
  <si>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</si>
  <si>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DC_VIN_var_DCM</t>
  </si>
  <si>
    <t>Operating mode</t>
  </si>
  <si>
    <t>0 - DCM operation, 1- CCM opertaion</t>
  </si>
  <si>
    <t>wp_lf_DCM</t>
  </si>
  <si>
    <t>CCM Open Loop Response</t>
  </si>
  <si>
    <t>DCM Open Loop Response</t>
  </si>
  <si>
    <t>Displayed Loop Calclation</t>
  </si>
  <si>
    <t>Gain(dB)</t>
  </si>
  <si>
    <t>Phase (deg)</t>
  </si>
  <si>
    <t>RAD</t>
  </si>
  <si>
    <t>This sets the error amp zero at the geometric mean between the load pole and the crossover frequency</t>
  </si>
  <si>
    <t>Vsl</t>
  </si>
  <si>
    <r>
      <t xml:space="preserve">Current sense resistor without slope compensation </t>
    </r>
    <r>
      <rPr>
        <b/>
        <sz val="11"/>
        <color theme="1"/>
        <rFont val="Calibri"/>
        <family val="2"/>
        <scheme val="minor"/>
      </rPr>
      <t>(No variable slope compensation of the LM5127)</t>
    </r>
  </si>
  <si>
    <r>
      <t>External Slope Compensation Resistor</t>
    </r>
    <r>
      <rPr>
        <b/>
        <sz val="11"/>
        <color theme="1"/>
        <rFont val="Calibri"/>
        <family val="2"/>
        <scheme val="minor"/>
      </rPr>
      <t xml:space="preserve"> (No external Slope Comp for LM5127)</t>
    </r>
  </si>
  <si>
    <t>Kex</t>
  </si>
  <si>
    <t>Km</t>
  </si>
  <si>
    <t>Kd</t>
  </si>
  <si>
    <t>Slope compensation parameters. Will change pole and DC gain equation</t>
  </si>
  <si>
    <t>Sampling pole</t>
  </si>
  <si>
    <t>Q factor of the inductor sampling curve</t>
  </si>
  <si>
    <t>Always set to 1 right now for initial revision. Will only operate in CCM</t>
  </si>
  <si>
    <t>Kex_VINmin</t>
  </si>
  <si>
    <t>Km_VINmin</t>
  </si>
  <si>
    <t>Kd_VINmin</t>
  </si>
  <si>
    <t>Calculated at the minimum input voltage</t>
  </si>
  <si>
    <t>Slope compensation (VSL is refered to the current sense resistor)</t>
  </si>
  <si>
    <t>Uses the felxible equations used in my mathcad file.</t>
  </si>
  <si>
    <t>ae</t>
  </si>
  <si>
    <t>be</t>
  </si>
  <si>
    <t>Gfc</t>
  </si>
  <si>
    <r>
      <t>On-State Resistance, R</t>
    </r>
    <r>
      <rPr>
        <vertAlign val="subscript"/>
        <sz val="10"/>
        <color theme="2" tint="-0.89999084444715716"/>
        <rFont val="Arial"/>
        <family val="2"/>
      </rPr>
      <t>DS(on)</t>
    </r>
    <r>
      <rPr>
        <sz val="10"/>
        <color theme="2" tint="-0.89999084444715716"/>
        <rFont val="Arial"/>
        <family val="2"/>
      </rPr>
      <t xml:space="preserve"> </t>
    </r>
  </si>
  <si>
    <r>
      <t>Total Gate Charge, Q</t>
    </r>
    <r>
      <rPr>
        <vertAlign val="subscript"/>
        <sz val="10"/>
        <color theme="2" tint="-0.89999084444715716"/>
        <rFont val="Arial"/>
        <family val="2"/>
      </rPr>
      <t>G</t>
    </r>
    <r>
      <rPr>
        <sz val="10"/>
        <color theme="2" tint="-0.89999084444715716"/>
        <rFont val="Arial"/>
        <family val="2"/>
      </rPr>
      <t xml:space="preserve"> </t>
    </r>
  </si>
  <si>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</si>
  <si>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</si>
  <si>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</si>
  <si>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r>
      <t>Gate-Source Threshold Voltage, V</t>
    </r>
    <r>
      <rPr>
        <vertAlign val="subscript"/>
        <sz val="10"/>
        <color theme="2" tint="-0.89999084444715716"/>
        <rFont val="Arial"/>
        <family val="2"/>
      </rPr>
      <t>TH</t>
    </r>
    <r>
      <rPr>
        <sz val="10"/>
        <color theme="2" tint="-0.89999084444715716"/>
        <rFont val="Arial"/>
        <family val="2"/>
      </rPr>
      <t xml:space="preserve"> </t>
    </r>
  </si>
  <si>
    <r>
      <t>Boost Converter Duty Cycle Limit of LM5123 at V</t>
    </r>
    <r>
      <rPr>
        <vertAlign val="subscript"/>
        <sz val="10"/>
        <color theme="1"/>
        <rFont val="Calibri"/>
        <family val="2"/>
        <scheme val="minor"/>
      </rPr>
      <t>SUPPLY(MIN)</t>
    </r>
  </si>
  <si>
    <t>LM5123 BOOST Controller Design Tool</t>
  </si>
  <si>
    <t>VOUT_range</t>
  </si>
  <si>
    <t>Suggested output voltage range</t>
  </si>
  <si>
    <t xml:space="preserve">Sets the feedback divider. Unique to the LM5123 topology (1 = low voltage &lt;=15V, 2 = high voltage &gt;15V) </t>
  </si>
  <si>
    <t>Light load operation switching mode</t>
  </si>
  <si>
    <t>SW_mode</t>
  </si>
  <si>
    <t>selected switching mode (1 = SKIP, 2 = DEM, 3 =FPWM) Will change the effieciency calculations accordingly</t>
  </si>
  <si>
    <r>
      <t>Switching mode at V</t>
    </r>
    <r>
      <rPr>
        <vertAlign val="subscript"/>
        <sz val="11"/>
        <color theme="1"/>
        <rFont val="Calibri"/>
        <family val="2"/>
        <scheme val="minor"/>
      </rPr>
      <t>SUPPLY(min)</t>
    </r>
  </si>
  <si>
    <t xml:space="preserve">Estimated efficiency. Assuming 100% simplify the calculations </t>
  </si>
  <si>
    <t xml:space="preserve">1: DCM operation required at VINmin to achieve the step-up ratio. 
</t>
  </si>
  <si>
    <t>2: CCM operation can achieve step-up ratio with out violating the maximum duty cycle</t>
  </si>
  <si>
    <t>Maximum IC duty cycle. Based on the forced off time and frequency. Give the equation about 2% margin to allow for losses in the controller</t>
  </si>
  <si>
    <t>DCM Operation calculations</t>
  </si>
  <si>
    <t>Indicates if the regulator is operating in CCM or DCM at full load (1 = CCM, 0 = DCM)</t>
  </si>
  <si>
    <t>Np</t>
  </si>
  <si>
    <t>number of phases in operation (For the LM5123 only one phase is possilbe with out external circuts)</t>
  </si>
  <si>
    <t>Normal</t>
  </si>
  <si>
    <t>Indicates if the regulator is operating in CCM or DCM at full load (1 = CCM, 0 = DCM). If FPWM mode is selected always picks CCM operation</t>
  </si>
  <si>
    <t>ratio of down slope to slope compensation. This helps to prevent sub-harmonic oscillation in conditions where the duty cycle is &gt; 50%</t>
  </si>
  <si>
    <r>
      <t>External slope compensation resistor, if DCM operation the external slope compensation is not needed. Should b 0 Ohm (</t>
    </r>
    <r>
      <rPr>
        <b/>
        <sz val="11"/>
        <color theme="1"/>
        <rFont val="Calibri"/>
        <family val="2"/>
        <scheme val="minor"/>
      </rPr>
      <t>No external slope comp in LM5123)</t>
    </r>
  </si>
  <si>
    <r>
      <t>Selected external slope compensation (</t>
    </r>
    <r>
      <rPr>
        <b/>
        <sz val="11"/>
        <color theme="1"/>
        <rFont val="Calibri"/>
        <family val="2"/>
        <scheme val="minor"/>
      </rPr>
      <t>No varialbe slope compenstiaon for the LM5123)</t>
    </r>
  </si>
  <si>
    <t>Can add this in later to make sure the dynamic range of the error amplifier is not violated</t>
  </si>
  <si>
    <t>HZ</t>
  </si>
  <si>
    <t>Estimate to be 1.5 the RHP zero frequency. Pick based on DCM or CCM operation.</t>
  </si>
  <si>
    <t>RMS current of the output capacitor at VIN min IOUT max. RMS current rating should be larger than this. Need to update for DCM</t>
  </si>
  <si>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</si>
  <si>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</si>
  <si>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</si>
  <si>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</si>
  <si>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</si>
  <si>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Step 5: UVLO Resistor Divider Selection</t>
  </si>
  <si>
    <t>Step 6: Soft-Start Capacitor Selection</t>
  </si>
  <si>
    <t>*The output capcitance is based on the load transient specification. Similar to the fylback converter</t>
  </si>
  <si>
    <t>Vout_Range</t>
  </si>
  <si>
    <t>KFB</t>
  </si>
  <si>
    <t>Kfb_low</t>
  </si>
  <si>
    <t>Kfb_high</t>
  </si>
  <si>
    <t>Rmax_low</t>
  </si>
  <si>
    <t>Rmax_high</t>
  </si>
  <si>
    <t>Rmin_low</t>
  </si>
  <si>
    <t>Rmin_high</t>
  </si>
  <si>
    <t>Rmax</t>
  </si>
  <si>
    <t>Rmin</t>
  </si>
  <si>
    <t>RFBT_max</t>
  </si>
  <si>
    <t>RFBT_min</t>
  </si>
  <si>
    <t>VTRK</t>
  </si>
  <si>
    <t>TRK pin voltage to set the correct output voltage</t>
  </si>
  <si>
    <t>VREF Resistor Selection</t>
  </si>
  <si>
    <r>
      <t>Calculated bottom feedback resistor (R</t>
    </r>
    <r>
      <rPr>
        <vertAlign val="subscript"/>
        <sz val="11"/>
        <color theme="1"/>
        <rFont val="Calibri"/>
        <family val="2"/>
        <scheme val="minor"/>
      </rPr>
      <t>VREFB_calc</t>
    </r>
    <r>
      <rPr>
        <sz val="11"/>
        <color theme="1"/>
        <rFont val="Calibri"/>
        <family val="2"/>
        <scheme val="minor"/>
      </rPr>
      <t>)</t>
    </r>
  </si>
  <si>
    <r>
      <t>Track pin voltage to set the output voltage (V</t>
    </r>
    <r>
      <rPr>
        <vertAlign val="subscript"/>
        <sz val="11"/>
        <color theme="1"/>
        <rFont val="Calibri"/>
        <family val="2"/>
        <scheme val="minor"/>
      </rPr>
      <t>TRK</t>
    </r>
    <r>
      <rPr>
        <sz val="11"/>
        <color theme="1"/>
        <rFont val="Calibri"/>
        <family val="2"/>
        <scheme val="minor"/>
      </rPr>
      <t>)</t>
    </r>
  </si>
  <si>
    <r>
      <rPr>
        <b/>
        <sz val="11"/>
        <color theme="1"/>
        <rFont val="Calibri"/>
        <family val="2"/>
        <scheme val="minor"/>
      </rPr>
      <t xml:space="preserve">Not used for the LM5123 or the LM5152. </t>
    </r>
    <r>
      <rPr>
        <sz val="11"/>
        <color theme="1"/>
        <rFont val="Calibri"/>
        <family val="2"/>
        <scheme val="minor"/>
      </rPr>
      <t>Current Drawn from the feedback resistors (Typically higher than 100uA to help w/ noise)</t>
    </r>
  </si>
  <si>
    <t>This is the output to the user based on the mode of operation when VIN is the minimum. Changes based on DCM or CCM operation</t>
  </si>
  <si>
    <r>
      <t>Crossover frequnecy of the</t>
    </r>
    <r>
      <rPr>
        <b/>
        <sz val="11"/>
        <color theme="1"/>
        <rFont val="Calibri"/>
        <family val="2"/>
        <scheme val="minor"/>
      </rPr>
      <t xml:space="preserve"> DCM control loop</t>
    </r>
    <r>
      <rPr>
        <sz val="11"/>
        <color theme="1"/>
        <rFont val="Calibri"/>
        <family val="2"/>
        <scheme val="minor"/>
      </rPr>
      <t>. (1/5th the RHPzero frequency), or 10th the switching frequency which ever is lower</t>
    </r>
  </si>
  <si>
    <t>Selected crossover</t>
  </si>
  <si>
    <t>DCM Operation Loop Model</t>
  </si>
  <si>
    <t>Fcross (VINvar)</t>
  </si>
  <si>
    <t>Low-Side MOSFET</t>
  </si>
  <si>
    <t>High-Side MOSFET Losses</t>
  </si>
  <si>
    <t>LOW Side MOSFET Parameters</t>
  </si>
  <si>
    <t>High Side MOSFET Parameters</t>
  </si>
  <si>
    <t>Body Diode Reverse recovery charge</t>
  </si>
  <si>
    <t>Body Diode Forward drop</t>
  </si>
  <si>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</si>
  <si>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</si>
  <si>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r>
      <t>Gate-Source Threshold Voltage, (V</t>
    </r>
    <r>
      <rPr>
        <vertAlign val="subscript"/>
        <sz val="10"/>
        <color theme="2" tint="-0.89999084444715716"/>
        <rFont val="Arial"/>
        <family val="2"/>
      </rPr>
      <t>TH</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</si>
  <si>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</si>
  <si>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</si>
  <si>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</si>
  <si>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</si>
  <si>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</si>
  <si>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IHS</t>
    </r>
    <r>
      <rPr>
        <vertAlign val="subscript"/>
        <sz val="11"/>
        <color theme="1"/>
        <rFont val="Calibri"/>
        <family val="2"/>
        <scheme val="minor"/>
      </rPr>
      <t>RMS</t>
    </r>
  </si>
  <si>
    <t>Dead Time losses</t>
  </si>
  <si>
    <t>Dead time losses (Sync Controller)</t>
  </si>
  <si>
    <t>t_dead</t>
  </si>
  <si>
    <r>
      <t>P</t>
    </r>
    <r>
      <rPr>
        <vertAlign val="subscript"/>
        <sz val="11"/>
        <color theme="1"/>
        <rFont val="Calibri"/>
        <family val="2"/>
        <scheme val="minor"/>
      </rPr>
      <t xml:space="preserve">HS_tot </t>
    </r>
    <r>
      <rPr>
        <sz val="11"/>
        <color theme="1"/>
        <rFont val="Calibri"/>
        <family val="2"/>
        <scheme val="minor"/>
      </rPr>
      <t>(W)</t>
    </r>
  </si>
  <si>
    <r>
      <t>Select a top VREF resistor between R</t>
    </r>
    <r>
      <rPr>
        <vertAlign val="subscript"/>
        <sz val="11"/>
        <color theme="1"/>
        <rFont val="Calibri"/>
        <family val="2"/>
        <scheme val="minor"/>
      </rPr>
      <t>VREFT_min</t>
    </r>
    <r>
      <rPr>
        <sz val="11"/>
        <color theme="1"/>
        <rFont val="Calibri"/>
        <family val="2"/>
        <scheme val="minor"/>
      </rPr>
      <t xml:space="preserve"> and R</t>
    </r>
    <r>
      <rPr>
        <vertAlign val="subscript"/>
        <sz val="11"/>
        <color theme="1"/>
        <rFont val="Calibri"/>
        <family val="2"/>
        <scheme val="minor"/>
      </rPr>
      <t>VREFT_max</t>
    </r>
    <r>
      <rPr>
        <sz val="11"/>
        <color theme="1"/>
        <rFont val="Calibri"/>
        <family val="2"/>
        <scheme val="minor"/>
      </rPr>
      <t xml:space="preserve"> (R</t>
    </r>
    <r>
      <rPr>
        <vertAlign val="subscript"/>
        <sz val="11"/>
        <color theme="1"/>
        <rFont val="Calibri"/>
        <family val="2"/>
        <scheme val="minor"/>
      </rPr>
      <t>VREFT</t>
    </r>
    <r>
      <rPr>
        <sz val="11"/>
        <color theme="1"/>
        <rFont val="Calibri"/>
        <family val="2"/>
        <scheme val="minor"/>
      </rPr>
      <t>)</t>
    </r>
  </si>
  <si>
    <r>
      <t>P</t>
    </r>
    <r>
      <rPr>
        <vertAlign val="subscript"/>
        <sz val="11"/>
        <color theme="1"/>
        <rFont val="Calibri"/>
        <family val="2"/>
        <scheme val="minor"/>
      </rPr>
      <t>L_CORE</t>
    </r>
    <r>
      <rPr>
        <sz val="11"/>
        <color theme="1"/>
        <rFont val="Calibri"/>
        <family val="2"/>
        <scheme val="minor"/>
      </rPr>
      <t xml:space="preserve"> (W)</t>
    </r>
  </si>
  <si>
    <r>
      <t>Low-Side MOSFET Parameters (Q</t>
    </r>
    <r>
      <rPr>
        <b/>
        <vertAlign val="subscript"/>
        <sz val="11"/>
        <color theme="2" tint="-0.89996032593768116"/>
        <rFont val="Calibri"/>
        <family val="2"/>
        <scheme val="minor"/>
      </rPr>
      <t>LS</t>
    </r>
    <r>
      <rPr>
        <b/>
        <sz val="11"/>
        <color theme="2" tint="-0.89999084444715716"/>
        <rFont val="Calibri"/>
        <family val="2"/>
        <scheme val="minor"/>
      </rPr>
      <t>)</t>
    </r>
  </si>
  <si>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</si>
  <si>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r>
      <t>Select a bottomresistor based on calculated balue(R</t>
    </r>
    <r>
      <rPr>
        <vertAlign val="subscript"/>
        <sz val="11"/>
        <color theme="1"/>
        <rFont val="Calibri"/>
        <family val="2"/>
        <scheme val="minor"/>
      </rPr>
      <t>VREFB</t>
    </r>
    <r>
      <rPr>
        <sz val="11"/>
        <color theme="1"/>
        <rFont val="Calibri"/>
        <family val="2"/>
        <scheme val="minor"/>
      </rPr>
      <t>)</t>
    </r>
  </si>
  <si>
    <r>
      <t>Selected bandwidth (F</t>
    </r>
    <r>
      <rPr>
        <vertAlign val="subscript"/>
        <sz val="11"/>
        <color theme="1"/>
        <rFont val="Calibri"/>
        <family val="2"/>
        <scheme val="minor"/>
      </rPr>
      <t>CO</t>
    </r>
    <r>
      <rPr>
        <sz val="11"/>
        <color theme="1"/>
        <rFont val="Calibri"/>
        <family val="2"/>
        <scheme val="minor"/>
      </rPr>
      <t>)</t>
    </r>
  </si>
  <si>
    <r>
      <t>Suggested bandwidth (F</t>
    </r>
    <r>
      <rPr>
        <vertAlign val="subscript"/>
        <sz val="11"/>
        <color theme="1"/>
        <rFont val="Calibri"/>
        <family val="2"/>
        <scheme val="minor"/>
      </rPr>
      <t>CO_calc</t>
    </r>
    <r>
      <rPr>
        <sz val="11"/>
        <color theme="1"/>
        <rFont val="Calibri"/>
        <family val="2"/>
        <scheme val="minor"/>
      </rPr>
      <t>)</t>
    </r>
  </si>
  <si>
    <r>
      <t>Minimum value for (R</t>
    </r>
    <r>
      <rPr>
        <vertAlign val="subscript"/>
        <sz val="11"/>
        <color theme="1"/>
        <rFont val="Calibri"/>
        <family val="2"/>
        <scheme val="minor"/>
      </rPr>
      <t>VREFT_min</t>
    </r>
    <r>
      <rPr>
        <sz val="11"/>
        <color theme="1"/>
        <rFont val="Calibri"/>
        <family val="2"/>
        <scheme val="minor"/>
      </rPr>
      <t>)</t>
    </r>
  </si>
  <si>
    <r>
      <t>Maximum value for (R</t>
    </r>
    <r>
      <rPr>
        <vertAlign val="subscript"/>
        <sz val="11"/>
        <color theme="1"/>
        <rFont val="Calibri"/>
        <family val="2"/>
        <scheme val="minor"/>
      </rPr>
      <t>VREFT_max</t>
    </r>
    <r>
      <rPr>
        <sz val="11"/>
        <color theme="1"/>
        <rFont val="Calibri"/>
        <family val="2"/>
        <scheme val="minor"/>
      </rPr>
      <t>)</t>
    </r>
  </si>
  <si>
    <t>nest</t>
  </si>
  <si>
    <t>estimated efficiency at the peak current limit. Keep at ~95% for SYNC boost controllers</t>
  </si>
  <si>
    <t xml:space="preserve"> </t>
  </si>
  <si>
    <t>SCH_1 = SKIP</t>
  </si>
  <si>
    <t>SCH_2 = DEM</t>
  </si>
  <si>
    <t>SCH_3 = FPWM</t>
  </si>
  <si>
    <t>Rev 0.2</t>
  </si>
  <si>
    <t>December-2021</t>
  </si>
  <si>
    <t>FPWM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</si>
</sst>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0.000E+00"/>
    <numFmt numFmtId="167" formatCode="0.0000"/>
    <numFmt numFmtId="168" formatCode="0.0"/>
    <numFmt numFmtId="169" formatCode="0.0E+00"/>
    <numFmt numFmtId="170" formatCode="0.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vertAlign val="subscript"/>
      <sz val="10"/>
      <name val="Arial"/>
      <family val="2"/>
    </font>
    <font>
      <vertAlign val="subscript"/>
      <sz val="11"/>
      <name val="Calibri"/>
      <family val="2"/>
      <scheme val="minor"/>
    </font>
    <font>
      <sz val="11"/>
      <color rgb="FF0070C0"/>
      <name val="Calibri"/>
      <family val="2"/>
      <scheme val="minor"/>
    </font>
    <font>
      <b/>
      <u/>
      <sz val="11"/>
      <color theme="1"/>
      <name val="Calibri"/>
      <family val="2"/>
      <scheme val="minor"/>
    </font>
    <font>
      <sz val="18"/>
      <color theme="2" tint="-0.89999084444715716"/>
      <name val="Calibri"/>
      <family val="2"/>
      <scheme val="minor"/>
    </font>
    <font>
      <sz val="11"/>
      <color theme="2" tint="-0.89999084444715716"/>
      <name val="Calibri"/>
      <family val="2"/>
      <scheme val="minor"/>
    </font>
    <font>
      <b/>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sz val="11"/>
      <color theme="1" tint="0.14999847407452621"/>
      <name val="Calibri"/>
      <family val="2"/>
      <scheme val="minor"/>
    </font>
    <font>
      <vertAlign val="subscript"/>
      <sz val="11"/>
      <color theme="2" tint="-0.89996032593768116"/>
      <name val="Calibri"/>
      <family val="2"/>
      <scheme val="minor"/>
    </font>
    <font>
      <b/>
      <vertAlign val="subscript"/>
      <sz val="11"/>
      <color theme="2" tint="-0.89996032593768116"/>
      <name val="Calibri"/>
      <family val="2"/>
      <scheme val="minor"/>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rgb="FF00B050"/>
        <bgColor indexed="64"/>
      </patternFill>
    </fill>
  </fills>
  <borders count="3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164" fontId="4" fillId="0" borderId="0" applyFont="0" applyFill="0" applyBorder="0" applyAlignment="0" applyProtection="0"/>
    <xf numFmtId="0" fontId="4" fillId="0" borderId="0"/>
    <xf numFmtId="0" fontId="1" fillId="0" borderId="0"/>
    <xf numFmtId="164" fontId="1" fillId="0" borderId="0" applyFont="0" applyFill="0" applyBorder="0" applyAlignment="0" applyProtection="0"/>
    <xf numFmtId="0" fontId="4" fillId="0" borderId="0"/>
    <xf numFmtId="0" fontId="4" fillId="0" borderId="0"/>
    <xf numFmtId="164" fontId="3" fillId="0" borderId="0" applyFont="0" applyFill="0" applyBorder="0" applyAlignment="0" applyProtection="0"/>
    <xf numFmtId="0" fontId="3" fillId="0" borderId="0"/>
    <xf numFmtId="0" fontId="3" fillId="0" borderId="0"/>
    <xf numFmtId="0" fontId="3" fillId="0" borderId="0"/>
  </cellStyleXfs>
  <cellXfs count="235">
    <xf numFmtId="0" fontId="0" fillId="0" borderId="0" xfId="0"/>
    <xf numFmtId="0" fontId="0" fillId="9" borderId="0" xfId="0" applyFill="1"/>
    <xf numFmtId="0" fontId="17"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6" fontId="0" fillId="9" borderId="0" xfId="0" applyNumberFormat="1" applyFill="1"/>
    <xf numFmtId="0" fontId="5" fillId="0" borderId="0" xfId="3" applyFont="1" applyAlignment="1">
      <alignment horizontal="right"/>
    </xf>
    <xf numFmtId="0" fontId="4" fillId="0" borderId="0" xfId="3" applyAlignment="1">
      <alignment horizontal="center"/>
    </xf>
    <xf numFmtId="165" fontId="0" fillId="9" borderId="0" xfId="0" applyNumberFormat="1" applyFill="1"/>
    <xf numFmtId="2" fontId="0" fillId="9" borderId="0" xfId="0" applyNumberFormat="1" applyFill="1"/>
    <xf numFmtId="1" fontId="0" fillId="9" borderId="0" xfId="0" applyNumberFormat="1" applyFill="1"/>
    <xf numFmtId="0" fontId="16" fillId="0" borderId="0" xfId="0" applyFont="1"/>
    <xf numFmtId="165" fontId="0" fillId="0" borderId="0" xfId="0" applyNumberFormat="1"/>
    <xf numFmtId="11" fontId="15" fillId="10" borderId="0" xfId="0" applyNumberFormat="1" applyFont="1" applyFill="1"/>
    <xf numFmtId="0" fontId="18" fillId="0" borderId="0" xfId="0" applyFont="1"/>
    <xf numFmtId="11" fontId="0" fillId="9" borderId="0" xfId="0" applyNumberFormat="1" applyFill="1"/>
    <xf numFmtId="0" fontId="5" fillId="0" borderId="0" xfId="3" applyFont="1" applyAlignment="1">
      <alignment horizontal="left"/>
    </xf>
    <xf numFmtId="167"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23" fillId="0" borderId="0" xfId="0" applyFont="1"/>
    <xf numFmtId="0" fontId="24" fillId="0" borderId="0" xfId="0" applyFont="1"/>
    <xf numFmtId="165" fontId="4" fillId="0" borderId="0" xfId="3" applyNumberFormat="1"/>
    <xf numFmtId="2" fontId="0" fillId="0" borderId="0" xfId="0" applyNumberFormat="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9" xfId="3" applyBorder="1"/>
    <xf numFmtId="0" fontId="0" fillId="0" borderId="5" xfId="0" applyBorder="1"/>
    <xf numFmtId="0" fontId="4" fillId="0" borderId="7" xfId="3" applyBorder="1"/>
    <xf numFmtId="0" fontId="0" fillId="0" borderId="6" xfId="0" applyBorder="1"/>
    <xf numFmtId="0" fontId="0" fillId="0" borderId="7" xfId="0" applyBorder="1"/>
    <xf numFmtId="0" fontId="0" fillId="0" borderId="9" xfId="0" applyBorder="1"/>
    <xf numFmtId="165"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5" fontId="4" fillId="0" borderId="3" xfId="3" applyNumberFormat="1" applyBorder="1"/>
    <xf numFmtId="0" fontId="4" fillId="0" borderId="3" xfId="3" applyBorder="1"/>
    <xf numFmtId="0" fontId="0" fillId="0" borderId="3" xfId="0" applyBorder="1"/>
    <xf numFmtId="0" fontId="4" fillId="0" borderId="2" xfId="3" applyBorder="1"/>
    <xf numFmtId="165" fontId="0" fillId="0" borderId="3" xfId="0" applyNumberFormat="1" applyBorder="1"/>
    <xf numFmtId="0" fontId="0" fillId="0" borderId="4" xfId="0" applyBorder="1"/>
    <xf numFmtId="165" fontId="4" fillId="0" borderId="8" xfId="3" applyNumberFormat="1" applyBorder="1"/>
    <xf numFmtId="0" fontId="4" fillId="0" borderId="6" xfId="3" applyBorder="1"/>
    <xf numFmtId="0" fontId="0" fillId="0" borderId="10" xfId="0" applyBorder="1"/>
    <xf numFmtId="0" fontId="0" fillId="0" borderId="11" xfId="0" applyBorder="1"/>
    <xf numFmtId="165" fontId="4" fillId="0" borderId="11" xfId="3" applyNumberFormat="1" applyBorder="1"/>
    <xf numFmtId="0" fontId="4" fillId="0" borderId="11" xfId="3" applyBorder="1"/>
    <xf numFmtId="0" fontId="4" fillId="0" borderId="10" xfId="3" applyBorder="1"/>
    <xf numFmtId="165"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13"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3" borderId="13" xfId="0" applyFill="1" applyBorder="1"/>
    <xf numFmtId="0" fontId="0" fillId="0" borderId="19" xfId="0" applyBorder="1"/>
    <xf numFmtId="0" fontId="0" fillId="13"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5" fillId="8" borderId="0" xfId="0" applyFont="1" applyFill="1" applyProtection="1">
      <protection hidden="1"/>
    </xf>
    <xf numFmtId="0" fontId="0" fillId="14"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2" fillId="8" borderId="0" xfId="0" applyFont="1" applyFill="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4" borderId="1" xfId="0" applyFill="1" applyBorder="1" applyProtection="1">
      <protection hidden="1"/>
    </xf>
    <xf numFmtId="0" fontId="0" fillId="15" borderId="0" xfId="0" applyFill="1" applyProtection="1">
      <protection hidden="1"/>
    </xf>
    <xf numFmtId="0" fontId="0" fillId="15" borderId="0" xfId="0" applyFill="1" applyAlignment="1" applyProtection="1">
      <alignment horizontal="right"/>
      <protection hidden="1"/>
    </xf>
    <xf numFmtId="49" fontId="0" fillId="15" borderId="0" xfId="0" applyNumberFormat="1" applyFill="1" applyProtection="1">
      <protection hidden="1"/>
    </xf>
    <xf numFmtId="0" fontId="0" fillId="15" borderId="2" xfId="0" applyFill="1" applyBorder="1" applyProtection="1">
      <protection hidden="1"/>
    </xf>
    <xf numFmtId="0" fontId="0" fillId="15" borderId="3" xfId="0" applyFill="1" applyBorder="1" applyProtection="1">
      <protection hidden="1"/>
    </xf>
    <xf numFmtId="0" fontId="13" fillId="15" borderId="3" xfId="3" applyFont="1" applyFill="1" applyBorder="1" applyAlignment="1" applyProtection="1">
      <alignment horizontal="right"/>
      <protection hidden="1"/>
    </xf>
    <xf numFmtId="0" fontId="0" fillId="15" borderId="4" xfId="0" applyFill="1" applyBorder="1" applyProtection="1">
      <protection hidden="1"/>
    </xf>
    <xf numFmtId="0" fontId="0" fillId="15" borderId="5" xfId="0" applyFill="1" applyBorder="1" applyProtection="1">
      <protection hidden="1"/>
    </xf>
    <xf numFmtId="0" fontId="13" fillId="15" borderId="0" xfId="3" applyFont="1" applyFill="1" applyAlignment="1" applyProtection="1">
      <alignment horizontal="right"/>
      <protection hidden="1"/>
    </xf>
    <xf numFmtId="0" fontId="0" fillId="15" borderId="6" xfId="0" applyFill="1" applyBorder="1" applyProtection="1">
      <protection hidden="1"/>
    </xf>
    <xf numFmtId="0" fontId="13" fillId="15" borderId="5" xfId="0" applyFont="1" applyFill="1" applyBorder="1" applyProtection="1">
      <protection hidden="1"/>
    </xf>
    <xf numFmtId="0" fontId="13" fillId="15" borderId="0" xfId="0" applyFont="1" applyFill="1" applyProtection="1">
      <protection hidden="1"/>
    </xf>
    <xf numFmtId="0" fontId="13" fillId="15" borderId="0" xfId="0" applyFont="1" applyFill="1" applyAlignment="1" applyProtection="1">
      <alignment horizontal="right"/>
      <protection hidden="1"/>
    </xf>
    <xf numFmtId="0" fontId="0" fillId="15" borderId="8" xfId="0" applyFill="1" applyBorder="1" applyProtection="1">
      <protection hidden="1"/>
    </xf>
    <xf numFmtId="0" fontId="0" fillId="15" borderId="9" xfId="0" applyFill="1" applyBorder="1" applyProtection="1">
      <protection hidden="1"/>
    </xf>
    <xf numFmtId="0" fontId="16" fillId="15" borderId="0" xfId="0" applyFont="1" applyFill="1" applyProtection="1">
      <protection hidden="1"/>
    </xf>
    <xf numFmtId="0" fontId="13" fillId="15" borderId="3" xfId="0" applyFont="1" applyFill="1" applyBorder="1" applyProtection="1">
      <protection hidden="1"/>
    </xf>
    <xf numFmtId="0" fontId="0" fillId="15" borderId="7" xfId="0" applyFill="1" applyBorder="1" applyProtection="1">
      <protection hidden="1"/>
    </xf>
    <xf numFmtId="0" fontId="13" fillId="15" borderId="8" xfId="3" applyFont="1" applyFill="1" applyBorder="1" applyAlignment="1" applyProtection="1">
      <alignment horizontal="right"/>
      <protection hidden="1"/>
    </xf>
    <xf numFmtId="0" fontId="17" fillId="15" borderId="6" xfId="0" applyFont="1" applyFill="1" applyBorder="1" applyProtection="1">
      <protection hidden="1"/>
    </xf>
    <xf numFmtId="0" fontId="0" fillId="15" borderId="8" xfId="0" applyFill="1" applyBorder="1" applyAlignment="1" applyProtection="1">
      <alignment horizontal="right"/>
      <protection hidden="1"/>
    </xf>
    <xf numFmtId="0" fontId="17" fillId="15" borderId="9" xfId="0" applyFont="1" applyFill="1" applyBorder="1" applyProtection="1">
      <protection hidden="1"/>
    </xf>
    <xf numFmtId="0" fontId="0" fillId="15" borderId="3" xfId="0" applyFill="1" applyBorder="1" applyAlignment="1" applyProtection="1">
      <alignment horizontal="right"/>
      <protection hidden="1"/>
    </xf>
    <xf numFmtId="0" fontId="16" fillId="15" borderId="2" xfId="0" applyFont="1" applyFill="1" applyBorder="1" applyProtection="1">
      <protection hidden="1"/>
    </xf>
    <xf numFmtId="0" fontId="15" fillId="15" borderId="3" xfId="0" applyFont="1" applyFill="1" applyBorder="1" applyAlignment="1" applyProtection="1">
      <alignment horizontal="right"/>
      <protection hidden="1"/>
    </xf>
    <xf numFmtId="0" fontId="16" fillId="15" borderId="5" xfId="0" applyFont="1" applyFill="1" applyBorder="1" applyProtection="1">
      <protection hidden="1"/>
    </xf>
    <xf numFmtId="0" fontId="23" fillId="15" borderId="0" xfId="0" applyFont="1" applyFill="1" applyAlignment="1" applyProtection="1">
      <alignment horizontal="right"/>
      <protection hidden="1"/>
    </xf>
    <xf numFmtId="0" fontId="0" fillId="15" borderId="0" xfId="0" applyFill="1" applyAlignment="1" applyProtection="1">
      <alignment horizontal="center"/>
      <protection hidden="1"/>
    </xf>
    <xf numFmtId="0" fontId="0" fillId="15" borderId="6" xfId="0" applyFill="1" applyBorder="1" applyAlignment="1" applyProtection="1">
      <alignment horizontal="center"/>
      <protection hidden="1"/>
    </xf>
    <xf numFmtId="0" fontId="0" fillId="14" borderId="0" xfId="0" applyFill="1" applyAlignment="1" applyProtection="1">
      <alignment horizontal="right"/>
      <protection hidden="1"/>
    </xf>
    <xf numFmtId="0" fontId="15" fillId="14"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5" borderId="25" xfId="0" applyNumberFormat="1" applyFill="1" applyBorder="1" applyProtection="1">
      <protection hidden="1"/>
    </xf>
    <xf numFmtId="0" fontId="0" fillId="15" borderId="25" xfId="0" applyFill="1" applyBorder="1" applyProtection="1">
      <protection hidden="1"/>
    </xf>
    <xf numFmtId="165" fontId="0" fillId="0" borderId="25" xfId="0" applyNumberFormat="1" applyBorder="1" applyProtection="1">
      <protection hidden="1"/>
    </xf>
    <xf numFmtId="2" fontId="0" fillId="0" borderId="26" xfId="0" applyNumberFormat="1" applyBorder="1" applyProtection="1">
      <protection hidden="1"/>
    </xf>
    <xf numFmtId="2" fontId="0" fillId="15"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165" fontId="0" fillId="15" borderId="25" xfId="0" applyNumberFormat="1" applyFill="1" applyBorder="1" applyProtection="1">
      <protection hidden="1"/>
    </xf>
    <xf numFmtId="0" fontId="0" fillId="15" borderId="25" xfId="0" applyFill="1" applyBorder="1" applyAlignment="1" applyProtection="1">
      <alignment horizontal="center"/>
      <protection hidden="1"/>
    </xf>
    <xf numFmtId="1" fontId="0" fillId="15" borderId="7" xfId="0" applyNumberFormat="1" applyFill="1" applyBorder="1" applyProtection="1">
      <protection hidden="1"/>
    </xf>
    <xf numFmtId="0" fontId="0" fillId="7" borderId="23" xfId="0" applyFill="1" applyBorder="1" applyProtection="1">
      <protection locked="0" hidden="1"/>
    </xf>
    <xf numFmtId="0" fontId="0" fillId="7" borderId="0" xfId="0" applyFill="1"/>
    <xf numFmtId="0" fontId="30" fillId="0" borderId="0" xfId="0" applyFont="1"/>
    <xf numFmtId="0" fontId="31" fillId="0" borderId="0" xfId="0" applyFont="1"/>
    <xf numFmtId="0" fontId="0" fillId="0" borderId="0" xfId="0" applyAlignment="1">
      <alignment horizontal="center"/>
    </xf>
    <xf numFmtId="11" fontId="0" fillId="0" borderId="0" xfId="0" applyNumberFormat="1"/>
    <xf numFmtId="169" fontId="0" fillId="9" borderId="0" xfId="0" applyNumberFormat="1" applyFill="1"/>
    <xf numFmtId="0" fontId="3" fillId="0" borderId="8" xfId="3" applyFont="1" applyBorder="1"/>
    <xf numFmtId="0" fontId="23" fillId="15" borderId="24" xfId="0" applyFont="1" applyFill="1" applyBorder="1" applyAlignment="1" applyProtection="1">
      <alignment horizontal="center"/>
      <protection hidden="1"/>
    </xf>
    <xf numFmtId="0" fontId="23" fillId="0" borderId="0" xfId="0" quotePrefix="1" applyFont="1"/>
    <xf numFmtId="0" fontId="37" fillId="14" borderId="0" xfId="0" applyFont="1" applyFill="1" applyProtection="1">
      <protection hidden="1"/>
    </xf>
    <xf numFmtId="0" fontId="0" fillId="15" borderId="0" xfId="0" applyFill="1"/>
    <xf numFmtId="0" fontId="13" fillId="15" borderId="7" xfId="0" applyFont="1" applyFill="1" applyBorder="1" applyProtection="1">
      <protection hidden="1"/>
    </xf>
    <xf numFmtId="0" fontId="13" fillId="15" borderId="8" xfId="0" applyFont="1" applyFill="1" applyBorder="1" applyProtection="1">
      <protection hidden="1"/>
    </xf>
    <xf numFmtId="168" fontId="0" fillId="15" borderId="25" xfId="0" applyNumberFormat="1" applyFill="1" applyBorder="1" applyProtection="1">
      <protection hidden="1"/>
    </xf>
    <xf numFmtId="0" fontId="23" fillId="13" borderId="0" xfId="0" applyFont="1" applyFill="1"/>
    <xf numFmtId="165" fontId="0" fillId="6" borderId="0" xfId="0" applyNumberFormat="1" applyFill="1"/>
    <xf numFmtId="0" fontId="0" fillId="6" borderId="0" xfId="0" applyFill="1"/>
    <xf numFmtId="165" fontId="0" fillId="0" borderId="26" xfId="0" applyNumberFormat="1" applyBorder="1" applyProtection="1">
      <protection hidden="1"/>
    </xf>
    <xf numFmtId="170" fontId="0" fillId="0" borderId="0" xfId="0" applyNumberFormat="1"/>
    <xf numFmtId="0" fontId="17" fillId="15" borderId="10" xfId="0" applyFont="1" applyFill="1" applyBorder="1" applyAlignment="1" applyProtection="1">
      <alignment horizontal="left"/>
      <protection hidden="1"/>
    </xf>
    <xf numFmtId="0" fontId="0" fillId="15" borderId="7" xfId="0" applyFill="1" applyBorder="1" applyAlignment="1" applyProtection="1">
      <alignment horizontal="left"/>
      <protection hidden="1"/>
    </xf>
    <xf numFmtId="0" fontId="32" fillId="15" borderId="0" xfId="0" applyFont="1" applyFill="1" applyProtection="1">
      <protection hidden="1"/>
    </xf>
    <xf numFmtId="0" fontId="33" fillId="15" borderId="0" xfId="0" applyFont="1" applyFill="1" applyProtection="1">
      <protection hidden="1"/>
    </xf>
    <xf numFmtId="0" fontId="33" fillId="15" borderId="0" xfId="0" applyFont="1" applyFill="1" applyAlignment="1" applyProtection="1">
      <alignment horizontal="right"/>
      <protection hidden="1"/>
    </xf>
    <xf numFmtId="0" fontId="37" fillId="15" borderId="0" xfId="0" applyFont="1" applyFill="1" applyProtection="1">
      <protection hidden="1"/>
    </xf>
    <xf numFmtId="0" fontId="34" fillId="15" borderId="0" xfId="0" applyFont="1" applyFill="1" applyAlignment="1" applyProtection="1">
      <alignment horizontal="left"/>
      <protection hidden="1"/>
    </xf>
    <xf numFmtId="0" fontId="35" fillId="15" borderId="0" xfId="3" applyFont="1" applyFill="1" applyAlignment="1" applyProtection="1">
      <alignment horizontal="right"/>
      <protection hidden="1"/>
    </xf>
    <xf numFmtId="0" fontId="0" fillId="0" borderId="23" xfId="0" applyBorder="1"/>
    <xf numFmtId="0" fontId="0" fillId="0" borderId="25" xfId="0" applyBorder="1"/>
    <xf numFmtId="0" fontId="0" fillId="0" borderId="24" xfId="0" applyBorder="1"/>
    <xf numFmtId="0" fontId="0" fillId="0" borderId="26" xfId="0" applyBorder="1"/>
    <xf numFmtId="0" fontId="4" fillId="0" borderId="12" xfId="3" applyBorder="1"/>
    <xf numFmtId="0" fontId="3" fillId="0" borderId="10" xfId="3" applyFont="1" applyBorder="1"/>
    <xf numFmtId="0" fontId="3" fillId="0" borderId="11" xfId="3" applyFont="1" applyBorder="1"/>
    <xf numFmtId="1" fontId="0" fillId="8" borderId="0" xfId="0" applyNumberFormat="1" applyFill="1" applyProtection="1">
      <protection hidden="1"/>
    </xf>
    <xf numFmtId="168" fontId="0" fillId="0" borderId="25" xfId="0" applyNumberFormat="1" applyBorder="1" applyProtection="1">
      <protection hidden="1"/>
    </xf>
    <xf numFmtId="168" fontId="0" fillId="15" borderId="10" xfId="0" applyNumberFormat="1" applyFill="1" applyBorder="1" applyProtection="1">
      <protection hidden="1"/>
    </xf>
    <xf numFmtId="0" fontId="0" fillId="16" borderId="0" xfId="0" applyFill="1"/>
    <xf numFmtId="0" fontId="0" fillId="0" borderId="28" xfId="0" applyBorder="1"/>
    <xf numFmtId="0" fontId="37" fillId="8" borderId="0" xfId="0" applyFont="1" applyFill="1" applyProtection="1">
      <protection hidden="1"/>
    </xf>
    <xf numFmtId="0" fontId="33" fillId="15" borderId="2" xfId="0" applyFont="1" applyFill="1" applyBorder="1" applyProtection="1">
      <protection hidden="1"/>
    </xf>
    <xf numFmtId="0" fontId="33" fillId="15" borderId="3" xfId="0" applyFont="1" applyFill="1" applyBorder="1" applyProtection="1">
      <protection hidden="1"/>
    </xf>
    <xf numFmtId="0" fontId="35" fillId="15" borderId="3" xfId="3" applyFont="1" applyFill="1" applyBorder="1" applyAlignment="1" applyProtection="1">
      <alignment horizontal="right"/>
      <protection hidden="1"/>
    </xf>
    <xf numFmtId="0" fontId="35" fillId="15" borderId="4" xfId="3" applyFont="1" applyFill="1" applyBorder="1" applyProtection="1">
      <protection hidden="1"/>
    </xf>
    <xf numFmtId="0" fontId="34" fillId="15" borderId="5" xfId="0" applyFont="1" applyFill="1" applyBorder="1" applyProtection="1">
      <protection hidden="1"/>
    </xf>
    <xf numFmtId="0" fontId="35" fillId="15" borderId="6" xfId="3" applyFont="1" applyFill="1" applyBorder="1" applyProtection="1">
      <protection hidden="1"/>
    </xf>
    <xf numFmtId="0" fontId="33" fillId="15" borderId="5" xfId="0" applyFont="1" applyFill="1" applyBorder="1" applyProtection="1">
      <protection hidden="1"/>
    </xf>
    <xf numFmtId="0" fontId="33" fillId="15" borderId="7" xfId="0" applyFont="1" applyFill="1" applyBorder="1" applyProtection="1">
      <protection hidden="1"/>
    </xf>
    <xf numFmtId="0" fontId="33" fillId="15" borderId="8" xfId="0" applyFont="1" applyFill="1" applyBorder="1" applyProtection="1">
      <protection hidden="1"/>
    </xf>
    <xf numFmtId="0" fontId="35" fillId="15" borderId="8" xfId="3" applyFont="1" applyFill="1" applyBorder="1" applyAlignment="1" applyProtection="1">
      <alignment horizontal="right"/>
      <protection hidden="1"/>
    </xf>
    <xf numFmtId="0" fontId="35" fillId="15" borderId="9" xfId="3" applyFont="1" applyFill="1" applyBorder="1" applyProtection="1">
      <protection hidden="1"/>
    </xf>
    <xf numFmtId="0" fontId="33" fillId="15" borderId="6" xfId="0" applyFont="1" applyFill="1" applyBorder="1" applyProtection="1">
      <protection hidden="1"/>
    </xf>
    <xf numFmtId="0" fontId="33" fillId="15" borderId="8" xfId="0" applyFont="1" applyFill="1" applyBorder="1" applyAlignment="1" applyProtection="1">
      <alignment horizontal="right"/>
      <protection hidden="1"/>
    </xf>
    <xf numFmtId="0" fontId="33" fillId="15" borderId="9" xfId="0" applyFont="1" applyFill="1" applyBorder="1" applyProtection="1">
      <protection hidden="1"/>
    </xf>
    <xf numFmtId="0" fontId="13" fillId="15" borderId="8" xfId="0" applyFont="1" applyFill="1" applyBorder="1" applyAlignment="1" applyProtection="1">
      <alignment horizontal="right"/>
      <protection hidden="1"/>
    </xf>
    <xf numFmtId="168" fontId="0" fillId="15" borderId="26" xfId="0" applyNumberFormat="1" applyFill="1" applyBorder="1" applyProtection="1">
      <protection hidden="1"/>
    </xf>
    <xf numFmtId="0" fontId="0" fillId="0" borderId="30" xfId="0" applyBorder="1"/>
    <xf numFmtId="0" fontId="33" fillId="7" borderId="24" xfId="0" applyFont="1" applyFill="1" applyBorder="1" applyProtection="1">
      <protection locked="0" hidden="1"/>
    </xf>
    <xf numFmtId="0" fontId="33" fillId="7" borderId="25" xfId="0" applyFont="1" applyFill="1" applyBorder="1" applyProtection="1">
      <protection locked="0" hidden="1"/>
    </xf>
    <xf numFmtId="0" fontId="33" fillId="7" borderId="26" xfId="0" applyFont="1" applyFill="1" applyBorder="1" applyProtection="1">
      <protection locked="0" hidden="1"/>
    </xf>
    <xf numFmtId="2" fontId="0" fillId="7" borderId="25" xfId="0" applyNumberFormat="1" applyFill="1" applyBorder="1" applyProtection="1">
      <protection locked="0" hidden="1"/>
    </xf>
    <xf numFmtId="0" fontId="0" fillId="7" borderId="5" xfId="0" applyFill="1" applyBorder="1" applyAlignment="1" applyProtection="1">
      <alignment horizontal="center"/>
      <protection locked="0" hidden="1"/>
    </xf>
    <xf numFmtId="0" fontId="0" fillId="0" borderId="25" xfId="0" applyBorder="1" applyProtection="1">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9"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7" xfId="0" applyBorder="1" applyAlignment="1">
      <alignment horizontal="center"/>
    </xf>
    <xf numFmtId="0" fontId="0" fillId="0" borderId="0" xfId="0"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4" fillId="0" borderId="0" xfId="3"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3" fillId="0" borderId="2" xfId="0" applyFont="1" applyBorder="1" applyAlignment="1">
      <alignment horizontal="center"/>
    </xf>
    <xf numFmtId="0" fontId="23" fillId="0" borderId="4" xfId="0" applyFont="1" applyBorder="1" applyAlignment="1">
      <alignment horizontal="center"/>
    </xf>
  </cellXfs>
  <cellStyles count="12">
    <cellStyle name="Comma 2" xfId="5" xr:uid="{00000000-0005-0000-0000-000000000000}"/>
    <cellStyle name="Comma 3" xfId="2" xr:uid="{00000000-0005-0000-0000-000001000000}"/>
    <cellStyle name="Comma 3 2" xfId="8" xr:uid="{00000000-0005-0000-0000-000001000000}"/>
    <cellStyle name="Normal 2" xfId="3" xr:uid="{00000000-0005-0000-0000-000003000000}"/>
    <cellStyle name="Normal 2 2" xfId="9" xr:uid="{00000000-0005-0000-0000-000003000000}"/>
    <cellStyle name="Normal 3" xfId="4" xr:uid="{00000000-0005-0000-0000-000004000000}"/>
    <cellStyle name="Normal 4" xfId="1" xr:uid="{00000000-0005-0000-0000-000005000000}"/>
    <cellStyle name="Normal 4 2" xfId="7" xr:uid="{00000000-0005-0000-0000-000006000000}"/>
    <cellStyle name="Normal 4 2 2" xfId="11" xr:uid="{00000000-0005-0000-0000-000006000000}"/>
    <cellStyle name="Normal 4 3" xfId="6" xr:uid="{00000000-0005-0000-0000-000007000000}"/>
    <cellStyle name="Normal 4 3 2" xfId="10" xr:uid="{00000000-0005-0000-0000-000007000000}"/>
    <cellStyle name="Standard" xfId="0" builtinId="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72.340287115963193</c:v>
                </c:pt>
                <c:pt idx="1">
                  <c:v>72.127754034236006</c:v>
                </c:pt>
                <c:pt idx="2">
                  <c:v>71.914669313380443</c:v>
                </c:pt>
                <c:pt idx="3">
                  <c:v>71.701010462192187</c:v>
                </c:pt>
                <c:pt idx="4">
                  <c:v>71.486754232261688</c:v>
                </c:pt>
                <c:pt idx="5">
                  <c:v>71.271876606746062</c:v>
                </c:pt>
                <c:pt idx="6">
                  <c:v>71.056352790360535</c:v>
                </c:pt>
                <c:pt idx="7">
                  <c:v>70.84015720074261</c:v>
                </c:pt>
                <c:pt idx="8">
                  <c:v>70.62326346135022</c:v>
                </c:pt>
                <c:pt idx="9">
                  <c:v>70.40564439606166</c:v>
                </c:pt>
                <c:pt idx="10">
                  <c:v>70.187272025654636</c:v>
                </c:pt>
                <c:pt idx="11">
                  <c:v>69.968117566348326</c:v>
                </c:pt>
                <c:pt idx="12">
                  <c:v>69.748151430597702</c:v>
                </c:pt>
                <c:pt idx="13">
                  <c:v>69.527343230337365</c:v>
                </c:pt>
                <c:pt idx="14">
                  <c:v>69.305661782875234</c:v>
                </c:pt>
                <c:pt idx="15">
                  <c:v>69.08307511964064</c:v>
                </c:pt>
                <c:pt idx="16">
                  <c:v>68.859550497994363</c:v>
                </c:pt>
                <c:pt idx="17">
                  <c:v>68.635054416307653</c:v>
                </c:pt>
                <c:pt idx="18">
                  <c:v>68.409552632518668</c:v>
                </c:pt>
                <c:pt idx="19">
                  <c:v>68.18301018636943</c:v>
                </c:pt>
                <c:pt idx="20">
                  <c:v>67.955391425523203</c:v>
                </c:pt>
                <c:pt idx="21">
                  <c:v>67.726660035755074</c:v>
                </c:pt>
                <c:pt idx="22">
                  <c:v>67.496779075396901</c:v>
                </c:pt>
                <c:pt idx="23">
                  <c:v>67.26571101420781</c:v>
                </c:pt>
                <c:pt idx="24">
                  <c:v>67.033417776823427</c:v>
                </c:pt>
                <c:pt idx="25">
                  <c:v>66.799860790919951</c:v>
                </c:pt>
                <c:pt idx="26">
                  <c:v>66.565001040207193</c:v>
                </c:pt>
                <c:pt idx="27">
                  <c:v>66.328799122338125</c:v>
                </c:pt>
                <c:pt idx="28">
                  <c:v>66.09121531179602</c:v>
                </c:pt>
                <c:pt idx="29">
                  <c:v>65.852209627786095</c:v>
                </c:pt>
                <c:pt idx="30">
                  <c:v>65.611741907124525</c:v>
                </c:pt>
                <c:pt idx="31">
                  <c:v>65.369771882078552</c:v>
                </c:pt>
                <c:pt idx="32">
                  <c:v>65.126259263068874</c:v>
                </c:pt>
                <c:pt idx="33">
                  <c:v>64.881163826101982</c:v>
                </c:pt>
                <c:pt idx="34">
                  <c:v>64.634445504751625</c:v>
                </c:pt>
                <c:pt idx="35">
                  <c:v>64.386064486459929</c:v>
                </c:pt>
                <c:pt idx="36">
                  <c:v>64.13598131287641</c:v>
                </c:pt>
                <c:pt idx="37">
                  <c:v>63.884156983902109</c:v>
                </c:pt>
                <c:pt idx="38">
                  <c:v>63.630553065052041</c:v>
                </c:pt>
                <c:pt idx="39">
                  <c:v>63.375131797696241</c:v>
                </c:pt>
                <c:pt idx="40">
                  <c:v>63.117856211689244</c:v>
                </c:pt>
                <c:pt idx="41">
                  <c:v>62.858690239846176</c:v>
                </c:pt>
                <c:pt idx="42">
                  <c:v>62.597598833677253</c:v>
                </c:pt>
                <c:pt idx="43">
                  <c:v>62.334548079748338</c:v>
                </c:pt>
                <c:pt idx="44">
                  <c:v>62.069505315995471</c:v>
                </c:pt>
                <c:pt idx="45">
                  <c:v>61.802439247287843</c:v>
                </c:pt>
                <c:pt idx="46">
                  <c:v>61.533320059504774</c:v>
                </c:pt>
                <c:pt idx="47">
                  <c:v>61.262119531373294</c:v>
                </c:pt>
                <c:pt idx="48">
                  <c:v>60.988811143296928</c:v>
                </c:pt>
                <c:pt idx="49">
                  <c:v>60.7133701824051</c:v>
                </c:pt>
                <c:pt idx="50">
                  <c:v>60.435773843053902</c:v>
                </c:pt>
                <c:pt idx="51">
                  <c:v>60.156001322023911</c:v>
                </c:pt>
                <c:pt idx="52">
                  <c:v>59.874033907684691</c:v>
                </c:pt>
                <c:pt idx="53">
                  <c:v>59.589855062425556</c:v>
                </c:pt>
                <c:pt idx="54">
                  <c:v>59.303450497698705</c:v>
                </c:pt>
                <c:pt idx="55">
                  <c:v>59.014808241067264</c:v>
                </c:pt>
                <c:pt idx="56">
                  <c:v>58.723918694715486</c:v>
                </c:pt>
                <c:pt idx="57">
                  <c:v>58.430774684942442</c:v>
                </c:pt>
                <c:pt idx="58">
                  <c:v>58.135371502239167</c:v>
                </c:pt>
                <c:pt idx="59">
                  <c:v>57.837706931626862</c:v>
                </c:pt>
                <c:pt idx="60">
                  <c:v>57.537781273023839</c:v>
                </c:pt>
                <c:pt idx="61">
                  <c:v>57.235597351494398</c:v>
                </c:pt>
                <c:pt idx="62">
                  <c:v>56.931160517329928</c:v>
                </c:pt>
                <c:pt idx="63">
                  <c:v>56.624478635999857</c:v>
                </c:pt>
                <c:pt idx="64">
                  <c:v>56.315562068108164</c:v>
                </c:pt>
                <c:pt idx="65">
                  <c:v>56.00442363957805</c:v>
                </c:pt>
                <c:pt idx="66">
                  <c:v>55.691078602376152</c:v>
                </c:pt>
                <c:pt idx="67">
                  <c:v>55.375544586168701</c:v>
                </c:pt>
                <c:pt idx="68">
                  <c:v>55.057841541383112</c:v>
                </c:pt>
                <c:pt idx="69">
                  <c:v>54.737991674211806</c:v>
                </c:pt>
                <c:pt idx="70">
                  <c:v>54.416019374164165</c:v>
                </c:pt>
                <c:pt idx="71">
                  <c:v>54.091951134820569</c:v>
                </c:pt>
                <c:pt idx="72">
                  <c:v>53.765815468492463</c:v>
                </c:pt>
                <c:pt idx="73">
                  <c:v>53.43764281552118</c:v>
                </c:pt>
                <c:pt idx="74">
                  <c:v>53.107465448982182</c:v>
                </c:pt>
                <c:pt idx="75">
                  <c:v>52.775317375567887</c:v>
                </c:pt>
                <c:pt idx="76">
                  <c:v>52.441234233438259</c:v>
                </c:pt>
                <c:pt idx="77">
                  <c:v>52.105253187818477</c:v>
                </c:pt>
                <c:pt idx="78">
                  <c:v>51.767412825117489</c:v>
                </c:pt>
                <c:pt idx="79">
                  <c:v>51.427753046317086</c:v>
                </c:pt>
                <c:pt idx="80">
                  <c:v>51.086314960361101</c:v>
                </c:pt>
                <c:pt idx="81">
                  <c:v>50.743140778235791</c:v>
                </c:pt>
                <c:pt idx="82">
                  <c:v>50.398273708396189</c:v>
                </c:pt>
                <c:pt idx="83">
                  <c:v>50.051757854154097</c:v>
                </c:pt>
                <c:pt idx="84">
                  <c:v>49.703638113588518</c:v>
                </c:pt>
                <c:pt idx="85">
                  <c:v>49.353960082497466</c:v>
                </c:pt>
                <c:pt idx="86">
                  <c:v>49.002769960853058</c:v>
                </c:pt>
                <c:pt idx="87">
                  <c:v>48.650114463171349</c:v>
                </c:pt>
                <c:pt idx="88">
                  <c:v>48.296040733154015</c:v>
                </c:pt>
                <c:pt idx="89">
                  <c:v>47.940596262904776</c:v>
                </c:pt>
                <c:pt idx="90">
                  <c:v>47.583828816973785</c:v>
                </c:pt>
                <c:pt idx="91">
                  <c:v>47.225786361429705</c:v>
                </c:pt>
                <c:pt idx="92">
                  <c:v>46.866516998111166</c:v>
                </c:pt>
                <c:pt idx="93">
                  <c:v>46.506068904163989</c:v>
                </c:pt>
                <c:pt idx="94">
                  <c:v>46.144490276924188</c:v>
                </c:pt>
                <c:pt idx="95">
                  <c:v>45.781829284169895</c:v>
                </c:pt>
                <c:pt idx="96">
                  <c:v>45.418134019722018</c:v>
                </c:pt>
                <c:pt idx="97">
                  <c:v>45.053452464344865</c:v>
                </c:pt>
                <c:pt idx="98">
                  <c:v>44.687832451861766</c:v>
                </c:pt>
                <c:pt idx="99">
                  <c:v>44.321321640376055</c:v>
                </c:pt>
                <c:pt idx="100">
                  <c:v>43.953967488460748</c:v>
                </c:pt>
                <c:pt idx="101">
                  <c:v>43.585817236159663</c:v>
                </c:pt>
                <c:pt idx="102">
                  <c:v>43.216917890622746</c:v>
                </c:pt>
                <c:pt idx="103">
                  <c:v>42.847316216184048</c:v>
                </c:pt>
                <c:pt idx="104">
                  <c:v>42.477058728674351</c:v>
                </c:pt>
                <c:pt idx="105">
                  <c:v>42.106191693752564</c:v>
                </c:pt>
                <c:pt idx="106">
                  <c:v>41.734761129027603</c:v>
                </c:pt>
                <c:pt idx="107">
                  <c:v>41.3628128097385</c:v>
                </c:pt>
                <c:pt idx="108">
                  <c:v>40.990392277752122</c:v>
                </c:pt>
                <c:pt idx="109">
                  <c:v>40.617544853635366</c:v>
                </c:pt>
                <c:pt idx="110">
                  <c:v>40.244315651555894</c:v>
                </c:pt>
                <c:pt idx="111">
                  <c:v>39.870749596763972</c:v>
                </c:pt>
                <c:pt idx="112">
                  <c:v>39.496891445404465</c:v>
                </c:pt>
                <c:pt idx="113">
                  <c:v>39.122785806412281</c:v>
                </c:pt>
                <c:pt idx="114">
                  <c:v>38.748477165240999</c:v>
                </c:pt>
                <c:pt idx="115">
                  <c:v>38.374009909176351</c:v>
                </c:pt>
                <c:pt idx="116">
                  <c:v>37.999428353986964</c:v>
                </c:pt>
                <c:pt idx="117">
                  <c:v>37.624776771666077</c:v>
                </c:pt>
                <c:pt idx="118">
                  <c:v>37.250099419017694</c:v>
                </c:pt>
                <c:pt idx="119">
                  <c:v>36.875440566841881</c:v>
                </c:pt>
                <c:pt idx="120">
                  <c:v>36.500844529475671</c:v>
                </c:pt>
                <c:pt idx="121">
                  <c:v>36.126355694442914</c:v>
                </c:pt>
                <c:pt idx="122">
                  <c:v>35.752018551972398</c:v>
                </c:pt>
                <c:pt idx="123">
                  <c:v>35.377877724136646</c:v>
                </c:pt>
                <c:pt idx="124">
                  <c:v>35.003977993369162</c:v>
                </c:pt>
                <c:pt idx="125">
                  <c:v>34.630364330115015</c:v>
                </c:pt>
                <c:pt idx="126">
                  <c:v>34.257081919367877</c:v>
                </c:pt>
                <c:pt idx="127">
                  <c:v>33.884176185850329</c:v>
                </c:pt>
                <c:pt idx="128">
                  <c:v>33.511692817588653</c:v>
                </c:pt>
                <c:pt idx="129">
                  <c:v>33.139677787636188</c:v>
                </c:pt>
                <c:pt idx="130">
                  <c:v>32.76817737369921</c:v>
                </c:pt>
                <c:pt idx="131">
                  <c:v>32.397238175418494</c:v>
                </c:pt>
                <c:pt idx="132">
                  <c:v>32.026907129061485</c:v>
                </c:pt>
                <c:pt idx="133">
                  <c:v>31.657231519382304</c:v>
                </c:pt>
                <c:pt idx="134">
                  <c:v>31.288258988408725</c:v>
                </c:pt>
                <c:pt idx="135">
                  <c:v>30.920037540920788</c:v>
                </c:pt>
                <c:pt idx="136">
                  <c:v>30.552615546389493</c:v>
                </c:pt>
                <c:pt idx="137">
                  <c:v>30.186041737152646</c:v>
                </c:pt>
                <c:pt idx="138">
                  <c:v>29.820365202614454</c:v>
                </c:pt>
                <c:pt idx="139">
                  <c:v>29.455635379263185</c:v>
                </c:pt>
                <c:pt idx="140">
                  <c:v>29.091902036320345</c:v>
                </c:pt>
                <c:pt idx="141">
                  <c:v>28.729215256844487</c:v>
                </c:pt>
                <c:pt idx="142">
                  <c:v>28.367625414137546</c:v>
                </c:pt>
                <c:pt idx="143">
                  <c:v>28.007183143318095</c:v>
                </c:pt>
                <c:pt idx="144">
                  <c:v>27.647939307953614</c:v>
                </c:pt>
                <c:pt idx="145">
                  <c:v>27.289944961670912</c:v>
                </c:pt>
                <c:pt idx="146">
                  <c:v>26.933251304694185</c:v>
                </c:pt>
                <c:pt idx="147">
                  <c:v>26.577909635295175</c:v>
                </c:pt>
                <c:pt idx="148">
                  <c:v>26.223971296176977</c:v>
                </c:pt>
                <c:pt idx="149">
                  <c:v>25.871487615853678</c:v>
                </c:pt>
                <c:pt idx="150">
                  <c:v>25.520509845131048</c:v>
                </c:pt>
                <c:pt idx="151">
                  <c:v>25.171089088840862</c:v>
                </c:pt>
                <c:pt idx="152">
                  <c:v>24.823276233028345</c:v>
                </c:pt>
                <c:pt idx="153">
                  <c:v>24.477121867843845</c:v>
                </c:pt>
                <c:pt idx="154">
                  <c:v>24.132676206442344</c:v>
                </c:pt>
                <c:pt idx="155">
                  <c:v>23.789989000245274</c:v>
                </c:pt>
                <c:pt idx="156">
                  <c:v>23.449109450976742</c:v>
                </c:pt>
                <c:pt idx="157">
                  <c:v>23.110086119932287</c:v>
                </c:pt>
                <c:pt idx="158">
                  <c:v>22.772966834999178</c:v>
                </c:pt>
                <c:pt idx="159">
                  <c:v>22.437798595988475</c:v>
                </c:pt>
                <c:pt idx="160">
                  <c:v>22.104627478891143</c:v>
                </c:pt>
                <c:pt idx="161">
                  <c:v>21.773498539712641</c:v>
                </c:pt>
                <c:pt idx="162">
                  <c:v>21.444455718578599</c:v>
                </c:pt>
                <c:pt idx="163">
                  <c:v>21.117541744835528</c:v>
                </c:pt>
                <c:pt idx="164">
                  <c:v>20.792798043900834</c:v>
                </c:pt>
                <c:pt idx="165">
                  <c:v>20.470264646632529</c:v>
                </c:pt>
                <c:pt idx="166">
                  <c:v>20.149980102000026</c:v>
                </c:pt>
                <c:pt idx="167">
                  <c:v>19.831981393842447</c:v>
                </c:pt>
                <c:pt idx="168">
                  <c:v>19.516303862492919</c:v>
                </c:pt>
                <c:pt idx="169">
                  <c:v>19.202981132029755</c:v>
                </c:pt>
                <c:pt idx="170">
                  <c:v>18.892045043892981</c:v>
                </c:pt>
                <c:pt idx="171">
                  <c:v>18.583525597565515</c:v>
                </c:pt>
                <c:pt idx="172">
                  <c:v>18.277450898976145</c:v>
                </c:pt>
                <c:pt idx="173">
                  <c:v>17.973847117222821</c:v>
                </c:pt>
                <c:pt idx="174">
                  <c:v>17.672738450157357</c:v>
                </c:pt>
                <c:pt idx="175">
                  <c:v>17.374147099293417</c:v>
                </c:pt>
                <c:pt idx="176">
                  <c:v>17.078093254428296</c:v>
                </c:pt>
                <c:pt idx="177">
                  <c:v>16.784595088278383</c:v>
                </c:pt>
                <c:pt idx="178">
                  <c:v>16.493668761341237</c:v>
                </c:pt>
                <c:pt idx="179">
                  <c:v>16.205328437101283</c:v>
                </c:pt>
                <c:pt idx="180">
                  <c:v>15.919586307601563</c:v>
                </c:pt>
                <c:pt idx="181">
                  <c:v>15.636452629304483</c:v>
                </c:pt>
                <c:pt idx="182">
                  <c:v>15.355935769069035</c:v>
                </c:pt>
                <c:pt idx="183">
                  <c:v>15.078042259975767</c:v>
                </c:pt>
                <c:pt idx="184">
                  <c:v>14.802776866638458</c:v>
                </c:pt>
                <c:pt idx="185">
                  <c:v>14.530142659553832</c:v>
                </c:pt>
                <c:pt idx="186">
                  <c:v>14.260141097959174</c:v>
                </c:pt>
                <c:pt idx="187">
                  <c:v>13.992772120589827</c:v>
                </c:pt>
                <c:pt idx="188">
                  <c:v>13.728034243664071</c:v>
                </c:pt>
                <c:pt idx="189">
                  <c:v>13.465924665358033</c:v>
                </c:pt>
                <c:pt idx="190">
                  <c:v>13.206439375988555</c:v>
                </c:pt>
                <c:pt idx="191">
                  <c:v>12.949573273073922</c:v>
                </c:pt>
                <c:pt idx="192">
                  <c:v>12.695320280413153</c:v>
                </c:pt>
                <c:pt idx="193">
                  <c:v>12.44367347030169</c:v>
                </c:pt>
                <c:pt idx="194">
                  <c:v>12.194625187985364</c:v>
                </c:pt>
                <c:pt idx="195">
                  <c:v>11.94816717745104</c:v>
                </c:pt>
                <c:pt idx="196">
                  <c:v>11.70429070765455</c:v>
                </c:pt>
                <c:pt idx="197">
                  <c:v>11.462986698300019</c:v>
                </c:pt>
                <c:pt idx="198">
                  <c:v>11.224245844299567</c:v>
                </c:pt>
                <c:pt idx="199">
                  <c:v>10.988058738071798</c:v>
                </c:pt>
                <c:pt idx="200">
                  <c:v>10.754415988865365</c:v>
                </c:pt>
                <c:pt idx="201">
                  <c:v>10.523308338331478</c:v>
                </c:pt>
                <c:pt idx="202">
                  <c:v>10.294726771608643</c:v>
                </c:pt>
                <c:pt idx="203">
                  <c:v>10.068662623228139</c:v>
                </c:pt>
                <c:pt idx="204">
                  <c:v>9.8451076771937345</c:v>
                </c:pt>
                <c:pt idx="205">
                  <c:v>9.6240542606391202</c:v>
                </c:pt>
                <c:pt idx="206">
                  <c:v>9.4054953305172599</c:v>
                </c:pt>
                <c:pt idx="207">
                  <c:v>9.1894245528259173</c:v>
                </c:pt>
                <c:pt idx="208">
                  <c:v>8.9758363739273026</c:v>
                </c:pt>
                <c:pt idx="209">
                  <c:v>8.7647260835713219</c:v>
                </c:pt>
                <c:pt idx="210">
                  <c:v>8.5560898692840723</c:v>
                </c:pt>
                <c:pt idx="211">
                  <c:v>8.3499248618368966</c:v>
                </c:pt>
                <c:pt idx="212">
                  <c:v>8.1462291715606199</c:v>
                </c:pt>
                <c:pt idx="213">
                  <c:v>7.9450019153239184</c:v>
                </c:pt>
                <c:pt idx="214">
                  <c:v>7.7462432340437823</c:v>
                </c:pt>
                <c:pt idx="215">
                  <c:v>7.5499543006479994</c:v>
                </c:pt>
                <c:pt idx="216">
                  <c:v>7.356137318460628</c:v>
                </c:pt>
                <c:pt idx="217">
                  <c:v>7.1647955100296565</c:v>
                </c:pt>
                <c:pt idx="218">
                  <c:v>6.9759330964712767</c:v>
                </c:pt>
                <c:pt idx="219">
                  <c:v>6.7895552674499493</c:v>
                </c:pt>
                <c:pt idx="220">
                  <c:v>6.6056681419708942</c:v>
                </c:pt>
                <c:pt idx="221">
                  <c:v>6.4242787202079228</c:v>
                </c:pt>
                <c:pt idx="222">
                  <c:v>6.245394826644076</c:v>
                </c:pt>
                <c:pt idx="223">
                  <c:v>6.0690250448548539</c:v>
                </c:pt>
                <c:pt idx="224">
                  <c:v>5.8951786443137344</c:v>
                </c:pt>
                <c:pt idx="225">
                  <c:v>5.7238654996559095</c:v>
                </c:pt>
                <c:pt idx="226">
                  <c:v>5.5550960028848353</c:v>
                </c:pt>
                <c:pt idx="227">
                  <c:v>5.388880969060871</c:v>
                </c:pt>
                <c:pt idx="228">
                  <c:v>5.2252315360597956</c:v>
                </c:pt>
                <c:pt idx="229">
                  <c:v>5.0641590590414554</c:v>
                </c:pt>
                <c:pt idx="230">
                  <c:v>4.9056750003131349</c:v>
                </c:pt>
                <c:pt idx="231">
                  <c:v>4.7497908153195318</c:v>
                </c:pt>
                <c:pt idx="232">
                  <c:v>4.5965178355318006</c:v>
                </c:pt>
                <c:pt idx="233">
                  <c:v>4.445867149047146</c:v>
                </c:pt>
                <c:pt idx="234">
                  <c:v>4.2978494797398898</c:v>
                </c:pt>
                <c:pt idx="235">
                  <c:v>4.1524750658371259</c:v>
                </c:pt>
                <c:pt idx="236">
                  <c:v>4.0097535388086145</c:v>
                </c:pt>
                <c:pt idx="237">
                  <c:v>3.8696938034766108</c:v>
                </c:pt>
                <c:pt idx="238">
                  <c:v>3.7323039202574941</c:v>
                </c:pt>
                <c:pt idx="239">
                  <c:v>3.5975909904432326</c:v>
                </c:pt>
                <c:pt idx="240">
                  <c:v>3.4655610454223118</c:v>
                </c:pt>
                <c:pt idx="241">
                  <c:v>3.3362189407171545</c:v>
                </c:pt>
                <c:pt idx="242">
                  <c:v>3.2095682556873055</c:v>
                </c:pt>
                <c:pt idx="243">
                  <c:v>3.0856111997085067</c:v>
                </c:pt>
                <c:pt idx="244">
                  <c:v>2.9643485255889805</c:v>
                </c:pt>
                <c:pt idx="245">
                  <c:v>2.8457794509290144</c:v>
                </c:pt>
                <c:pt idx="246">
                  <c:v>2.7299015880625079</c:v>
                </c:pt>
                <c:pt idx="247">
                  <c:v>2.6167108831479209</c:v>
                </c:pt>
                <c:pt idx="248">
                  <c:v>2.5062015648943166</c:v>
                </c:pt>
                <c:pt idx="249">
                  <c:v>2.3983661033239252</c:v>
                </c:pt>
                <c:pt idx="250">
                  <c:v>2.2931951788809428</c:v>
                </c:pt>
                <c:pt idx="251">
                  <c:v>2.1906776621009687</c:v>
                </c:pt>
                <c:pt idx="252">
                  <c:v>2.0908006039623812</c:v>
                </c:pt>
                <c:pt idx="253">
                  <c:v>1.9935492369392327</c:v>
                </c:pt>
                <c:pt idx="254">
                  <c:v>1.8989069866823867</c:v>
                </c:pt>
                <c:pt idx="255">
                  <c:v>1.8068554941585189</c:v>
                </c:pt>
                <c:pt idx="256">
                  <c:v>1.7173746479868313</c:v>
                </c:pt>
                <c:pt idx="257">
                  <c:v>1.6304426266257455</c:v>
                </c:pt>
                <c:pt idx="258">
                  <c:v>1.5460359499824876</c:v>
                </c:pt>
                <c:pt idx="259">
                  <c:v>1.4641295399418641</c:v>
                </c:pt>
                <c:pt idx="260">
                  <c:v>1.3846967892492095</c:v>
                </c:pt>
                <c:pt idx="261">
                  <c:v>1.3077096381202939</c:v>
                </c:pt>
                <c:pt idx="262">
                  <c:v>1.2331386579064361</c:v>
                </c:pt>
                <c:pt idx="263">
                  <c:v>1.1609531411027254</c:v>
                </c:pt>
                <c:pt idx="264">
                  <c:v>1.09112119695733</c:v>
                </c:pt>
                <c:pt idx="265">
                  <c:v>1.0236098519248324</c:v>
                </c:pt>
                <c:pt idx="266">
                  <c:v>0.95838515419057013</c:v>
                </c:pt>
                <c:pt idx="267">
                  <c:v>0.89541228149893526</c:v>
                </c:pt>
                <c:pt idx="268">
                  <c:v>0.83465565152226129</c:v>
                </c:pt>
                <c:pt idx="269">
                  <c:v>0.77607903402418033</c:v>
                </c:pt>
                <c:pt idx="270">
                  <c:v>0.71964566409752173</c:v>
                </c:pt>
                <c:pt idx="271">
                  <c:v>0.66531835578509502</c:v>
                </c:pt>
                <c:pt idx="272">
                  <c:v>0.61305961542632259</c:v>
                </c:pt>
                <c:pt idx="273">
                  <c:v>0.56283175411699349</c:v>
                </c:pt>
                <c:pt idx="274">
                  <c:v>0.51459699871241837</c:v>
                </c:pt>
                <c:pt idx="275">
                  <c:v>0.46831760085037788</c:v>
                </c:pt>
                <c:pt idx="276">
                  <c:v>0.42395594352355104</c:v>
                </c:pt>
                <c:pt idx="277">
                  <c:v>0.38147464477883886</c:v>
                </c:pt>
                <c:pt idx="278">
                  <c:v>0.34083665817434999</c:v>
                </c:pt>
                <c:pt idx="279">
                  <c:v>0.30200536967380265</c:v>
                </c:pt>
                <c:pt idx="280">
                  <c:v>0.26494469071180021</c:v>
                </c:pt>
                <c:pt idx="281">
                  <c:v>0.22961914720660867</c:v>
                </c:pt>
                <c:pt idx="282">
                  <c:v>0.19599396434699584</c:v>
                </c:pt>
                <c:pt idx="283">
                  <c:v>0.16403514702274169</c:v>
                </c:pt>
                <c:pt idx="284">
                  <c:v>0.13370955580666688</c:v>
                </c:pt>
                <c:pt idx="285">
                  <c:v>0.10498497843685972</c:v>
                </c:pt>
                <c:pt idx="286">
                  <c:v>7.7830196777039395E-2</c:v>
                </c:pt>
                <c:pt idx="287">
                  <c:v>5.2215049269057415E-2</c:v>
                </c:pt>
                <c:pt idx="288">
                  <c:v>2.8110488911147632E-2</c:v>
                </c:pt>
                <c:pt idx="289">
                  <c:v>5.4886368256642278E-3</c:v>
                </c:pt>
                <c:pt idx="290">
                  <c:v>-1.5677168507694971E-2</c:v>
                </c:pt>
                <c:pt idx="291">
                  <c:v>-3.5412326257004301E-2</c:v>
                </c:pt>
                <c:pt idx="292">
                  <c:v>-5.3740932375180281E-2</c:v>
                </c:pt>
                <c:pt idx="293">
                  <c:v>-7.06857427530906E-2</c:v>
                </c:pt>
                <c:pt idx="294">
                  <c:v>-8.6268140269185001E-2</c:v>
                </c:pt>
                <c:pt idx="295">
                  <c:v>-0.10050810561164476</c:v>
                </c:pt>
                <c:pt idx="296">
                  <c:v>-0.11342419174952667</c:v>
                </c:pt>
                <c:pt idx="297">
                  <c:v>-0.12503350193340065</c:v>
                </c:pt>
                <c:pt idx="298">
                  <c:v>-0.13535167111076327</c:v>
                </c:pt>
                <c:pt idx="299">
                  <c:v>-0.14439285064761465</c:v>
                </c:pt>
                <c:pt idx="300">
                  <c:v>-0.15216969625882368</c:v>
                </c:pt>
                <c:pt idx="301">
                  <c:v>-0.15869335905952339</c:v>
                </c:pt>
                <c:pt idx="302">
                  <c:v>-0.16397347966188591</c:v>
                </c:pt>
                <c:pt idx="303">
                  <c:v>-0.16801818525682</c:v>
                </c:pt>
                <c:pt idx="304">
                  <c:v>-0.17083408963221408</c:v>
                </c:pt>
                <c:pt idx="305">
                  <c:v>-0.17242629609785393</c:v>
                </c:pt>
                <c:pt idx="306">
                  <c:v>-0.17279840329953949</c:v>
                </c:pt>
                <c:pt idx="307">
                  <c:v>-0.171952513924751</c:v>
                </c:pt>
                <c:pt idx="308">
                  <c:v>-0.16988924631591046</c:v>
                </c:pt>
                <c:pt idx="309">
                  <c:v>-0.1666077490250592</c:v>
                </c:pt>
                <c:pt idx="310">
                  <c:v>-0.16210571835959739</c:v>
                </c:pt>
                <c:pt idx="311">
                  <c:v>-0.15637941898509369</c:v>
                </c:pt>
                <c:pt idx="312">
                  <c:v>-0.14942370766357901</c:v>
                </c:pt>
                <c:pt idx="313">
                  <c:v>-0.14123206022447116</c:v>
                </c:pt>
                <c:pt idx="314">
                  <c:v>-0.13179660187287273</c:v>
                </c:pt>
                <c:pt idx="315">
                  <c:v>-0.12110814095529215</c:v>
                </c:pt>
                <c:pt idx="316">
                  <c:v>-0.10915620631126889</c:v>
                </c:pt>
                <c:pt idx="317">
                  <c:v>-9.5929088348796612E-2</c:v>
                </c:pt>
                <c:pt idx="318">
                  <c:v>-8.1413883984507593E-2</c:v>
                </c:pt>
                <c:pt idx="319">
                  <c:v>-6.5596545599145226E-2</c:v>
                </c:pt>
                <c:pt idx="320">
                  <c:v>-4.8461934152669597E-2</c:v>
                </c:pt>
                <c:pt idx="321">
                  <c:v>-2.9993876609351489E-2</c:v>
                </c:pt>
                <c:pt idx="322">
                  <c:v>-1.0175227814095668E-2</c:v>
                </c:pt>
                <c:pt idx="323">
                  <c:v>1.1012063044586481E-2</c:v>
                </c:pt>
                <c:pt idx="324">
                  <c:v>3.3586881260300488E-2</c:v>
                </c:pt>
                <c:pt idx="325">
                  <c:v>5.756887061255235E-2</c:v>
                </c:pt>
                <c:pt idx="326">
                  <c:v>8.2978352456016105E-2</c:v>
                </c:pt>
                <c:pt idx="327">
                  <c:v>0.10983623982621241</c:v>
                </c:pt>
                <c:pt idx="328">
                  <c:v>0.13816394651285185</c:v>
                </c:pt>
                <c:pt idx="329">
                  <c:v>0.16798329108913396</c:v>
                </c:pt>
                <c:pt idx="330">
                  <c:v>0.1993163959088724</c:v>
                </c:pt>
                <c:pt idx="331">
                  <c:v>0.23218558112973653</c:v>
                </c:pt>
                <c:pt idx="332">
                  <c:v>0.26661325385283002</c:v>
                </c:pt>
                <c:pt idx="333">
                  <c:v>0.30262179251782823</c:v>
                </c:pt>
                <c:pt idx="334">
                  <c:v>0.34023342673681017</c:v>
                </c:pt>
                <c:pt idx="335">
                  <c:v>0.37947011279914794</c:v>
                </c:pt>
                <c:pt idx="336">
                  <c:v>0.42035340513197661</c:v>
                </c:pt>
                <c:pt idx="337">
                  <c:v>0.46290432405292464</c:v>
                </c:pt>
                <c:pt idx="338">
                  <c:v>0.50714322020467728</c:v>
                </c:pt>
                <c:pt idx="339">
                  <c:v>0.55308963611678874</c:v>
                </c:pt>
                <c:pt idx="340">
                  <c:v>0.60076216539093363</c:v>
                </c:pt>
                <c:pt idx="341">
                  <c:v>0.65017831006111093</c:v>
                </c:pt>
                <c:pt idx="342">
                  <c:v>0.70135433672670955</c:v>
                </c:pt>
                <c:pt idx="343">
                  <c:v>0.7543051321059292</c:v>
                </c:pt>
                <c:pt idx="344">
                  <c:v>0.80904405869782547</c:v>
                </c:pt>
                <c:pt idx="345">
                  <c:v>0.8655828112809012</c:v>
                </c:pt>
                <c:pt idx="346">
                  <c:v>0.92393127500604855</c:v>
                </c:pt>
                <c:pt idx="347">
                  <c:v>0.98409738586942963</c:v>
                </c:pt>
                <c:pt idx="348">
                  <c:v>1.0460869943677213</c:v>
                </c:pt>
                <c:pt idx="349">
                  <c:v>1.1099037331479691</c:v>
                </c:pt>
                <c:pt idx="350">
                  <c:v>1.1755488894676434</c:v>
                </c:pt>
                <c:pt idx="351">
                  <c:v>1.243021283270743</c:v>
                </c:pt>
                <c:pt idx="352">
                  <c:v>1.3123171516719581</c:v>
                </c:pt>
                <c:pt idx="353">
                  <c:v>1.3834300406130728</c:v>
                </c:pt>
                <c:pt idx="354">
                  <c:v>1.4563507044224908</c:v>
                </c:pt>
                <c:pt idx="355">
                  <c:v>1.5310670139621929</c:v>
                </c:pt>
                <c:pt idx="356">
                  <c:v>1.6075638740001335</c:v>
                </c:pt>
                <c:pt idx="357">
                  <c:v>1.6858231503774208</c:v>
                </c:pt>
                <c:pt idx="358">
                  <c:v>1.7658236074819444</c:v>
                </c:pt>
                <c:pt idx="359">
                  <c:v>1.8475408564592355</c:v>
                </c:pt>
                <c:pt idx="360">
                  <c:v>1.930947314519573</c:v>
                </c:pt>
                <c:pt idx="361">
                  <c:v>2.0160121756132905</c:v>
                </c:pt>
                <c:pt idx="362">
                  <c:v>2.1027013926684393</c:v>
                </c:pt>
                <c:pt idx="363">
                  <c:v>2.1909776714911038</c:v>
                </c:pt>
                <c:pt idx="364">
                  <c:v>2.2808004763540204</c:v>
                </c:pt>
                <c:pt idx="365">
                  <c:v>2.3721260472048287</c:v>
                </c:pt>
                <c:pt idx="366">
                  <c:v>2.4649074283540449</c:v>
                </c:pt>
                <c:pt idx="367">
                  <c:v>2.5590945084171008</c:v>
                </c:pt>
                <c:pt idx="368">
                  <c:v>2.6546340712197973</c:v>
                </c:pt>
                <c:pt idx="369">
                  <c:v>2.7514698573056067</c:v>
                </c:pt>
                <c:pt idx="370">
                  <c:v>2.8495426356250482</c:v>
                </c:pt>
                <c:pt idx="371">
                  <c:v>2.9487902849356251</c:v>
                </c:pt>
                <c:pt idx="372">
                  <c:v>3.049147884393633</c:v>
                </c:pt>
                <c:pt idx="373">
                  <c:v>3.1505478127820878</c:v>
                </c:pt>
                <c:pt idx="374">
                  <c:v>3.2529198557909353</c:v>
                </c:pt>
                <c:pt idx="375">
                  <c:v>3.3561913207404555</c:v>
                </c:pt>
                <c:pt idx="376">
                  <c:v>3.4602871581250416</c:v>
                </c:pt>
                <c:pt idx="377">
                  <c:v>3.5651300893437892</c:v>
                </c:pt>
                <c:pt idx="378">
                  <c:v>3.6706407399827805</c:v>
                </c:pt>
                <c:pt idx="379">
                  <c:v>3.7767377780140876</c:v>
                </c:pt>
                <c:pt idx="380">
                  <c:v>3.8833380562836135</c:v>
                </c:pt>
                <c:pt idx="381">
                  <c:v>3.99035675866602</c:v>
                </c:pt>
                <c:pt idx="382">
                  <c:v>4.0977075492788861</c:v>
                </c:pt>
                <c:pt idx="383">
                  <c:v>4.2053027241599086</c:v>
                </c:pt>
                <c:pt idx="384">
                  <c:v>4.3130533648207816</c:v>
                </c:pt>
                <c:pt idx="385">
                  <c:v>4.4208694931072197</c:v>
                </c:pt>
                <c:pt idx="386">
                  <c:v>4.5286602267996336</c:v>
                </c:pt>
                <c:pt idx="387">
                  <c:v>4.6363339354039015</c:v>
                </c:pt>
                <c:pt idx="388">
                  <c:v>4.7437983955810106</c:v>
                </c:pt>
                <c:pt idx="389">
                  <c:v>4.8509609456695699</c:v>
                </c:pt>
                <c:pt idx="390">
                  <c:v>4.9577286387536477</c:v>
                </c:pt>
                <c:pt idx="391">
                  <c:v>5.0640083937251879</c:v>
                </c:pt>
                <c:pt idx="392">
                  <c:v>5.1697071437780302</c:v>
                </c:pt>
                <c:pt idx="393">
                  <c:v>5.2747319817639813</c:v>
                </c:pt>
                <c:pt idx="394">
                  <c:v>5.3789903018239249</c:v>
                </c:pt>
                <c:pt idx="395">
                  <c:v>5.4823899366923046</c:v>
                </c:pt>
                <c:pt idx="396">
                  <c:v>5.5848392900512209</c:v>
                </c:pt>
                <c:pt idx="397">
                  <c:v>5.6862474632967128</c:v>
                </c:pt>
                <c:pt idx="398">
                  <c:v>5.7865243760545857</c:v>
                </c:pt>
                <c:pt idx="399">
                  <c:v>5.8855808797685247</c:v>
                </c:pt>
                <c:pt idx="400">
                  <c:v>5.9833288636648216</c:v>
                </c:pt>
                <c:pt idx="401">
                  <c:v>6.079681352385685</c:v>
                </c:pt>
                <c:pt idx="402">
                  <c:v>6.1745525945719102</c:v>
                </c:pt>
                <c:pt idx="403">
                  <c:v>6.2678581416746155</c:v>
                </c:pt>
                <c:pt idx="404">
                  <c:v>6.3595149162738007</c:v>
                </c:pt>
                <c:pt idx="405">
                  <c:v>6.449441269194768</c:v>
                </c:pt>
                <c:pt idx="406">
                  <c:v>6.5375570247274979</c:v>
                </c:pt>
                <c:pt idx="407">
                  <c:v>6.6237835132813299</c:v>
                </c:pt>
                <c:pt idx="408">
                  <c:v>6.7080435908430687</c:v>
                </c:pt>
                <c:pt idx="409">
                  <c:v>6.7902616446499362</c:v>
                </c:pt>
                <c:pt idx="410">
                  <c:v>6.8703635845472277</c:v>
                </c:pt>
                <c:pt idx="411">
                  <c:v>6.9482768195613023</c:v>
                </c:pt>
                <c:pt idx="412">
                  <c:v>7.0239302192993414</c:v>
                </c:pt>
                <c:pt idx="413">
                  <c:v>7.0972540598700826</c:v>
                </c:pt>
                <c:pt idx="414">
                  <c:v>7.168179954115999</c:v>
                </c:pt>
                <c:pt idx="415">
                  <c:v>7.2366407660550278</c:v>
                </c:pt>
                <c:pt idx="416">
                  <c:v>7.3025705095412841</c:v>
                </c:pt>
                <c:pt idx="417">
                  <c:v>7.3659042312810996</c:v>
                </c:pt>
                <c:pt idx="418">
                  <c:v>7.4265778784690131</c:v>
                </c:pt>
                <c:pt idx="419">
                  <c:v>7.4845281514497755</c:v>
                </c:pt>
                <c:pt idx="420">
                  <c:v>7.5396923419587853</c:v>
                </c:pt>
                <c:pt idx="421">
                  <c:v>7.5920081576440204</c:v>
                </c:pt>
                <c:pt idx="422">
                  <c:v>7.6414135337352569</c:v>
                </c:pt>
                <c:pt idx="423">
                  <c:v>7.6878464328914475</c:v>
                </c:pt>
                <c:pt idx="424">
                  <c:v>7.7312446344248205</c:v>
                </c:pt>
                <c:pt idx="425">
                  <c:v>7.7715455142847301</c:v>
                </c:pt>
                <c:pt idx="426">
                  <c:v>7.8086858173607396</c:v>
                </c:pt>
                <c:pt idx="427">
                  <c:v>7.8426014238558031</c:v>
                </c:pt>
                <c:pt idx="428">
                  <c:v>7.8732271116764139</c:v>
                </c:pt>
                <c:pt idx="429">
                  <c:v>7.9004963169819922</c:v>
                </c:pt>
                <c:pt idx="430">
                  <c:v>7.9243408952423771</c:v>
                </c:pt>
                <c:pt idx="431">
                  <c:v>7.9446908853614424</c:v>
                </c:pt>
                <c:pt idx="432">
                  <c:v>7.9614742796325437</c:v>
                </c:pt>
                <c:pt idx="433">
                  <c:v>7.9746168025091793</c:v>
                </c:pt>
                <c:pt idx="434">
                  <c:v>7.9840417013798524</c:v>
                </c:pt>
                <c:pt idx="435">
                  <c:v>7.9896695527485218</c:v>
                </c:pt>
                <c:pt idx="436">
                  <c:v>7.9914180874190137</c:v>
                </c:pt>
                <c:pt idx="437">
                  <c:v>7.989202038466904</c:v>
                </c:pt>
                <c:pt idx="438">
                  <c:v>7.9829330159497704</c:v>
                </c:pt>
                <c:pt idx="439">
                  <c:v>7.972519412446565</c:v>
                </c:pt>
                <c:pt idx="440">
                  <c:v>7.9578663436162511</c:v>
                </c:pt>
                <c:pt idx="441">
                  <c:v>7.9388756280276613</c:v>
                </c:pt>
                <c:pt idx="442">
                  <c:v>7.9154458105065082</c:v>
                </c:pt>
                <c:pt idx="443">
                  <c:v>7.8874722331786939</c:v>
                </c:pt>
                <c:pt idx="444">
                  <c:v>7.8548471582337172</c:v>
                </c:pt>
                <c:pt idx="445">
                  <c:v>7.8174599461825691</c:v>
                </c:pt>
                <c:pt idx="446">
                  <c:v>7.7751972930246751</c:v>
                </c:pt>
                <c:pt idx="447">
                  <c:v>7.7279435292604823</c:v>
                </c:pt>
                <c:pt idx="448">
                  <c:v>7.6755809830695441</c:v>
                </c:pt>
                <c:pt idx="449">
                  <c:v>7.6179904092266053</c:v>
                </c:pt>
                <c:pt idx="450">
                  <c:v>7.5550514844267287</c:v>
                </c:pt>
                <c:pt idx="451">
                  <c:v>7.4866433686568623</c:v>
                </c:pt>
                <c:pt idx="452">
                  <c:v>7.4126453310658693</c:v>
                </c:pt>
                <c:pt idx="453">
                  <c:v>7.332937437493281</c:v>
                </c:pt>
                <c:pt idx="454">
                  <c:v>7.2474012954004463</c:v>
                </c:pt>
                <c:pt idx="455">
                  <c:v>7.1559208504741019</c:v>
                </c:pt>
                <c:pt idx="456">
                  <c:v>7.0583832276420804</c:v>
                </c:pt>
                <c:pt idx="457">
                  <c:v>6.9546796077276571</c:v>
                </c:pt>
                <c:pt idx="458">
                  <c:v>6.8447061294964309</c:v>
                </c:pt>
                <c:pt idx="459">
                  <c:v>6.7283648054969358</c:v>
                </c:pt>
                <c:pt idx="460">
                  <c:v>6.6055644389033352</c:v>
                </c:pt>
                <c:pt idx="461">
                  <c:v>6.4762215276064525</c:v>
                </c:pt>
                <c:pt idx="462">
                  <c:v>6.3402611411167715</c:v>
                </c:pt>
                <c:pt idx="463">
                  <c:v>6.1976177554957417</c:v>
                </c:pt>
                <c:pt idx="464">
                  <c:v>6.0482360315597159</c:v>
                </c:pt>
                <c:pt idx="465">
                  <c:v>5.8920715220238895</c:v>
                </c:pt>
                <c:pt idx="466">
                  <c:v>5.7290912941033874</c:v>
                </c:pt>
                <c:pt idx="467">
                  <c:v>5.5592744553371762</c:v>
                </c:pt>
                <c:pt idx="468">
                  <c:v>5.3826125720441729</c:v>
                </c:pt>
                <c:pt idx="469">
                  <c:v>5.1991099718103237</c:v>
                </c:pt>
                <c:pt idx="470">
                  <c:v>5.0087839236734046</c:v>
                </c:pt>
                <c:pt idx="471">
                  <c:v>4.811664692168633</c:v>
                </c:pt>
                <c:pt idx="472">
                  <c:v>4.6077954640093335</c:v>
                </c:pt>
                <c:pt idx="473">
                  <c:v>4.3972321488328268</c:v>
                </c:pt>
                <c:pt idx="474">
                  <c:v>4.180043058042032</c:v>
                </c:pt>
                <c:pt idx="475">
                  <c:v>3.9563084682240941</c:v>
                </c:pt>
                <c:pt idx="476">
                  <c:v>3.7261200778473698</c:v>
                </c:pt>
                <c:pt idx="477">
                  <c:v>3.4895803678679616</c:v>
                </c:pt>
                <c:pt idx="478">
                  <c:v>3.2468018784349555</c:v>
                </c:pt>
                <c:pt idx="479">
                  <c:v>2.997906415067753</c:v>
                </c:pt>
                <c:pt idx="480">
                  <c:v>2.743024198435227</c:v>
                </c:pt>
                <c:pt idx="481">
                  <c:v>2.4822929722214955</c:v>
                </c:pt>
                <c:pt idx="482">
                  <c:v>2.215857083511299</c:v>
                </c:pt>
                <c:pt idx="483">
                  <c:v>1.9438665497266192</c:v>
                </c:pt>
                <c:pt idx="484">
                  <c:v>1.6664761254034077</c:v>
                </c:pt>
                <c:pt idx="485">
                  <c:v>1.3838443811040257</c:v>
                </c:pt>
                <c:pt idx="486">
                  <c:v>1.0961328055423025</c:v>
                </c:pt>
                <c:pt idx="487">
                  <c:v>0.80350494063476385</c:v>
                </c:pt>
                <c:pt idx="488">
                  <c:v>0.5061255577285213</c:v>
                </c:pt>
                <c:pt idx="489">
                  <c:v>0.20415988175619573</c:v>
                </c:pt>
                <c:pt idx="490">
                  <c:v>-0.10222713142111982</c:v>
                </c:pt>
                <c:pt idx="491">
                  <c:v>-0.41287146066756164</c:v>
                </c:pt>
                <c:pt idx="492">
                  <c:v>-0.72761062575229207</c:v>
                </c:pt>
                <c:pt idx="493">
                  <c:v>-1.0462842328363633</c:v>
                </c:pt>
                <c:pt idx="494">
                  <c:v>-1.3687344591491979</c:v>
                </c:pt>
                <c:pt idx="495">
                  <c:v>-1.6948064777119443</c:v>
                </c:pt>
                <c:pt idx="496">
                  <c:v>-2.0243488237810672</c:v>
                </c:pt>
                <c:pt idx="497">
                  <c:v>-2.3572137053638418</c:v>
                </c:pt>
                <c:pt idx="498">
                  <c:v>-2.6932572606886742</c:v>
                </c:pt>
                <c:pt idx="499">
                  <c:v>-3.0323397659140507</c:v>
                </c:pt>
                <c:pt idx="500">
                  <c:v>-3.3743257966448805</c:v>
                </c:pt>
                <c:pt idx="501">
                  <c:v>-3.7190843469908028</c:v>
                </c:pt>
                <c:pt idx="502">
                  <c:v>-4.0664889099855666</c:v>
                </c:pt>
                <c:pt idx="503">
                  <c:v>-4.4164175231811527</c:v>
                </c:pt>
                <c:pt idx="504">
                  <c:v>-4.7687527831632339</c:v>
                </c:pt>
                <c:pt idx="505">
                  <c:v>-5.1233818326130551</c:v>
                </c:pt>
                <c:pt idx="506">
                  <c:v>-5.480196323376707</c:v>
                </c:pt>
                <c:pt idx="507">
                  <c:v>-5.8390923588067913</c:v>
                </c:pt>
                <c:pt idx="508">
                  <c:v>-6.1999704184289408</c:v>
                </c:pt>
                <c:pt idx="509">
                  <c:v>-6.5627352677520578</c:v>
                </c:pt>
                <c:pt idx="510">
                  <c:v>-6.9272958558095059</c:v>
                </c:pt>
                <c:pt idx="511">
                  <c:v>-7.2935652027778008</c:v>
                </c:pt>
                <c:pt idx="512">
                  <c:v>-7.6614602797919265</c:v>
                </c:pt>
                <c:pt idx="513">
                  <c:v>-8.0309018828465728</c:v>
                </c:pt>
                <c:pt idx="514">
                  <c:v>-8.4018145024611073</c:v>
                </c:pt>
                <c:pt idx="515">
                  <c:v>-8.7741261905829724</c:v>
                </c:pt>
                <c:pt idx="516">
                  <c:v>-9.1477684260145935</c:v>
                </c:pt>
                <c:pt idx="517">
                  <c:v>-9.5226759794755118</c:v>
                </c:pt>
                <c:pt idx="518">
                  <c:v>-9.8987867792482831</c:v>
                </c:pt>
                <c:pt idx="519">
                  <c:v>-10.27604177821633</c:v>
                </c:pt>
                <c:pt idx="520">
                  <c:v>-10.654384822964154</c:v>
                </c:pt>
                <c:pt idx="521">
                  <c:v>-11.033762525498361</c:v>
                </c:pt>
                <c:pt idx="522">
                  <c:v>-11.414124138036952</c:v>
                </c:pt>
                <c:pt idx="523">
                  <c:v>-11.795421431227371</c:v>
                </c:pt>
                <c:pt idx="524">
                  <c:v>-12.177608576068691</c:v>
                </c:pt>
                <c:pt idx="525">
                  <c:v>-12.560642029742038</c:v>
                </c:pt>
                <c:pt idx="526">
                  <c:v>-12.94448042549419</c:v>
                </c:pt>
                <c:pt idx="527">
                  <c:v>-13.329084466662412</c:v>
                </c:pt>
                <c:pt idx="528">
                  <c:v>-13.714416824888033</c:v>
                </c:pt>
                <c:pt idx="529">
                  <c:v>-14.100442042523806</c:v>
                </c:pt>
                <c:pt idx="530">
                  <c:v>-14.487126439209216</c:v>
                </c:pt>
                <c:pt idx="531">
                  <c:v>-14.874438022562524</c:v>
                </c:pt>
                <c:pt idx="532">
                  <c:v>-15.262346402914957</c:v>
                </c:pt>
                <c:pt idx="533">
                  <c:v>-15.65082271199522</c:v>
                </c:pt>
                <c:pt idx="534">
                  <c:v>-16.039839525459968</c:v>
                </c:pt>
                <c:pt idx="535">
                  <c:v>-16.429370789152081</c:v>
                </c:pt>
                <c:pt idx="536">
                  <c:v>-16.81939174896354</c:v>
                </c:pt>
                <c:pt idx="537">
                  <c:v>-17.209878884174543</c:v>
                </c:pt>
                <c:pt idx="538">
                  <c:v>-17.600809844132577</c:v>
                </c:pt>
                <c:pt idx="539">
                  <c:v>-17.992163388138259</c:v>
                </c:pt>
                <c:pt idx="540">
                  <c:v>-18.383919328402005</c:v>
                </c:pt>
                <c:pt idx="541">
                  <c:v>-18.776058475936214</c:v>
                </c:pt>
              </c:numCache>
            </c:numRef>
          </c:yVal>
          <c:smooth val="1"/>
          <c:extLst>
            <c:ext xmlns:c16="http://schemas.microsoft.com/office/drawing/2014/chart" uri="{C3380CC4-5D6E-409C-BE32-E72D297353CC}">
              <c16:uniqueId val="{00000000-ECAC-4E20-B866-0DB1B3DE6FE8}"/>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ECAC-4E20-B866-0DB1B3DE6FE8}"/>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CAC-4E20-B866-0DB1B3DE6FE8}"/>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39.932240856107185</c:v>
                </c:pt>
              </c:numCache>
            </c:numRef>
          </c:xVal>
          <c:yVal>
            <c:numRef>
              <c:f>Loop_Modeling!$BL$11</c:f>
              <c:numCache>
                <c:formatCode>General</c:formatCode>
                <c:ptCount val="1"/>
                <c:pt idx="0">
                  <c:v>57.798136117381198</c:v>
                </c:pt>
              </c:numCache>
            </c:numRef>
          </c:yVal>
          <c:smooth val="0"/>
          <c:extLst>
            <c:ext xmlns:c16="http://schemas.microsoft.com/office/drawing/2014/chart" uri="{C3380CC4-5D6E-409C-BE32-E72D297353CC}">
              <c16:uniqueId val="{00000002-ECAC-4E20-B866-0DB1B3DE6FE8}"/>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39995.323186125308</c:v>
                </c:pt>
              </c:numCache>
            </c:numRef>
          </c:xVal>
          <c:yVal>
            <c:numRef>
              <c:f>Loop_Modeling!$BL$9</c:f>
              <c:numCache>
                <c:formatCode>General</c:formatCode>
                <c:ptCount val="1"/>
                <c:pt idx="0">
                  <c:v>1.864164310025227</c:v>
                </c:pt>
              </c:numCache>
            </c:numRef>
          </c:yVal>
          <c:smooth val="1"/>
          <c:extLst>
            <c:ext xmlns:c16="http://schemas.microsoft.com/office/drawing/2014/chart" uri="{C3380CC4-5D6E-409C-BE32-E72D297353CC}">
              <c16:uniqueId val="{00000004-ECAC-4E20-B866-0DB1B3DE6FE8}"/>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ECAC-4E20-B866-0DB1B3DE6FE8}"/>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3183.098861837907</c:v>
                </c:pt>
              </c:numCache>
            </c:numRef>
          </c:xVal>
          <c:yVal>
            <c:numRef>
              <c:f>Loop_Modeling!$BL$10</c:f>
              <c:numCache>
                <c:formatCode>General</c:formatCode>
                <c:ptCount val="1"/>
                <c:pt idx="0">
                  <c:v>2.3681200123876329</c:v>
                </c:pt>
              </c:numCache>
            </c:numRef>
          </c:yVal>
          <c:smooth val="1"/>
          <c:extLst>
            <c:ext xmlns:c16="http://schemas.microsoft.com/office/drawing/2014/chart" uri="{C3380CC4-5D6E-409C-BE32-E72D297353CC}">
              <c16:uniqueId val="{00000006-ECAC-4E20-B866-0DB1B3DE6FE8}"/>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DE"/>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CAC-4E20-B866-0DB1B3DE6FE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602.85963292384599</c:v>
                </c:pt>
              </c:numCache>
            </c:numRef>
          </c:xVal>
          <c:yVal>
            <c:numRef>
              <c:f>Loop_Modeling!$BL$12</c:f>
              <c:numCache>
                <c:formatCode>General</c:formatCode>
                <c:ptCount val="1"/>
                <c:pt idx="0">
                  <c:v>16.778277866603762</c:v>
                </c:pt>
              </c:numCache>
            </c:numRef>
          </c:yVal>
          <c:smooth val="1"/>
          <c:extLst>
            <c:ext xmlns:c16="http://schemas.microsoft.com/office/drawing/2014/chart" uri="{C3380CC4-5D6E-409C-BE32-E72D297353CC}">
              <c16:uniqueId val="{00000008-ECAC-4E20-B866-0DB1B3DE6FE8}"/>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CAC-4E20-B866-0DB1B3DE6FE8}"/>
                </c:ext>
              </c:extLst>
            </c:dLbl>
            <c:spPr>
              <a:noFill/>
              <a:ln>
                <a:noFill/>
              </a:ln>
              <a:effectLst/>
            </c:spPr>
            <c:txPr>
              <a:bodyPr/>
              <a:lstStyle/>
              <a:p>
                <a:pPr>
                  <a:defRPr b="1"/>
                </a:pPr>
                <a:endParaRPr lang="en-DE"/>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142705.4873935447</c:v>
                </c:pt>
              </c:numCache>
            </c:numRef>
          </c:xVal>
          <c:yVal>
            <c:numRef>
              <c:f>Loop_Modeling!$BL$13</c:f>
              <c:numCache>
                <c:formatCode>General</c:formatCode>
                <c:ptCount val="1"/>
                <c:pt idx="0">
                  <c:v>7.198889388564135</c:v>
                </c:pt>
              </c:numCache>
            </c:numRef>
          </c:yVal>
          <c:smooth val="1"/>
          <c:extLst>
            <c:ext xmlns:c16="http://schemas.microsoft.com/office/drawing/2014/chart" uri="{C3380CC4-5D6E-409C-BE32-E72D297353CC}">
              <c16:uniqueId val="{0000000A-ECAC-4E20-B866-0DB1B3DE6FE8}"/>
            </c:ext>
          </c:extLst>
        </c:ser>
        <c:dLbls>
          <c:showLegendKey val="0"/>
          <c:showVal val="0"/>
          <c:showCatName val="0"/>
          <c:showSerName val="0"/>
          <c:showPercent val="0"/>
          <c:showBubbleSize val="0"/>
        </c:dLbls>
        <c:axId val="357835904"/>
        <c:axId val="36447705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76.762681058257442</c:v>
                </c:pt>
                <c:pt idx="1">
                  <c:v>76.468673158326055</c:v>
                </c:pt>
                <c:pt idx="2">
                  <c:v>76.168786991928812</c:v>
                </c:pt>
                <c:pt idx="3">
                  <c:v>75.862948734216545</c:v>
                </c:pt>
                <c:pt idx="4">
                  <c:v>75.551086652281825</c:v>
                </c:pt>
                <c:pt idx="5">
                  <c:v>75.233131351365358</c:v>
                </c:pt>
                <c:pt idx="6">
                  <c:v>74.909016033375551</c:v>
                </c:pt>
                <c:pt idx="7">
                  <c:v>74.578676767801184</c:v>
                </c:pt>
                <c:pt idx="8">
                  <c:v>74.242052775034196</c:v>
                </c:pt>
                <c:pt idx="9">
                  <c:v>73.899086722049276</c:v>
                </c:pt>
                <c:pt idx="10">
                  <c:v>73.549725030311379</c:v>
                </c:pt>
                <c:pt idx="11">
                  <c:v>73.193918195695701</c:v>
                </c:pt>
                <c:pt idx="12">
                  <c:v>72.83162112010946</c:v>
                </c:pt>
                <c:pt idx="13">
                  <c:v>72.462793454404888</c:v>
                </c:pt>
                <c:pt idx="14">
                  <c:v>72.087399952060679</c:v>
                </c:pt>
                <c:pt idx="15">
                  <c:v>71.705410832986274</c:v>
                </c:pt>
                <c:pt idx="16">
                  <c:v>71.316802156680666</c:v>
                </c:pt>
                <c:pt idx="17">
                  <c:v>70.921556203836843</c:v>
                </c:pt>
                <c:pt idx="18">
                  <c:v>70.519661865340794</c:v>
                </c:pt>
                <c:pt idx="19">
                  <c:v>70.111115037462852</c:v>
                </c:pt>
                <c:pt idx="20">
                  <c:v>69.695919021882361</c:v>
                </c:pt>
                <c:pt idx="21">
                  <c:v>69.274084929025264</c:v>
                </c:pt>
                <c:pt idx="22">
                  <c:v>68.845632083028335</c:v>
                </c:pt>
                <c:pt idx="23">
                  <c:v>68.410588426474646</c:v>
                </c:pt>
                <c:pt idx="24">
                  <c:v>67.968990922881886</c:v>
                </c:pt>
                <c:pt idx="25">
                  <c:v>67.520885954748209</c:v>
                </c:pt>
                <c:pt idx="26">
                  <c:v>67.066329714813392</c:v>
                </c:pt>
                <c:pt idx="27">
                  <c:v>66.605388588020233</c:v>
                </c:pt>
                <c:pt idx="28">
                  <c:v>66.13813952152617</c:v>
                </c:pt>
                <c:pt idx="29">
                  <c:v>65.664670379974254</c:v>
                </c:pt>
                <c:pt idx="30">
                  <c:v>65.185080283114928</c:v>
                </c:pt>
                <c:pt idx="31">
                  <c:v>64.699479922766486</c:v>
                </c:pt>
                <c:pt idx="32">
                  <c:v>64.207991856026666</c:v>
                </c:pt>
                <c:pt idx="33">
                  <c:v>63.710750771583768</c:v>
                </c:pt>
                <c:pt idx="34">
                  <c:v>63.207903725962701</c:v>
                </c:pt>
                <c:pt idx="35">
                  <c:v>62.699610346532211</c:v>
                </c:pt>
                <c:pt idx="36">
                  <c:v>62.186042998147556</c:v>
                </c:pt>
                <c:pt idx="37">
                  <c:v>61.667386910377978</c:v>
                </c:pt>
                <c:pt idx="38">
                  <c:v>61.143840262381147</c:v>
                </c:pt>
                <c:pt idx="39">
                  <c:v>60.615614222645704</c:v>
                </c:pt>
                <c:pt idx="40">
                  <c:v>60.082932941025653</c:v>
                </c:pt>
                <c:pt idx="41">
                  <c:v>59.546033490728249</c:v>
                </c:pt>
                <c:pt idx="42">
                  <c:v>59.005165758206815</c:v>
                </c:pt>
                <c:pt idx="43">
                  <c:v>58.460592279239577</c:v>
                </c:pt>
                <c:pt idx="44">
                  <c:v>57.912588019843575</c:v>
                </c:pt>
                <c:pt idx="45">
                  <c:v>57.361440101077022</c:v>
                </c:pt>
                <c:pt idx="46">
                  <c:v>56.807447467236834</c:v>
                </c:pt>
                <c:pt idx="47">
                  <c:v>56.250920497414128</c:v>
                </c:pt>
                <c:pt idx="48">
                  <c:v>55.692180560885014</c:v>
                </c:pt>
                <c:pt idx="49">
                  <c:v>55.131559517317413</c:v>
                </c:pt>
                <c:pt idx="50">
                  <c:v>54.569399163308411</c:v>
                </c:pt>
                <c:pt idx="51">
                  <c:v>54.006050627299608</c:v>
                </c:pt>
                <c:pt idx="52">
                  <c:v>53.441873715447109</c:v>
                </c:pt>
                <c:pt idx="53">
                  <c:v>52.877236211536285</c:v>
                </c:pt>
                <c:pt idx="54">
                  <c:v>52.31251313453599</c:v>
                </c:pt>
                <c:pt idx="55">
                  <c:v>51.748085957851153</c:v>
                </c:pt>
                <c:pt idx="56">
                  <c:v>51.184341794764947</c:v>
                </c:pt>
                <c:pt idx="57">
                  <c:v>50.621672554953335</c:v>
                </c:pt>
                <c:pt idx="58">
                  <c:v>50.060474077287658</c:v>
                </c:pt>
                <c:pt idx="59">
                  <c:v>49.501145244422339</c:v>
                </c:pt>
                <c:pt idx="60">
                  <c:v>48.944087084878625</c:v>
                </c:pt>
                <c:pt idx="61">
                  <c:v>48.389701868486746</c:v>
                </c:pt>
                <c:pt idx="62">
                  <c:v>47.838392201128507</c:v>
                </c:pt>
                <c:pt idx="63">
                  <c:v>47.290560124717892</c:v>
                </c:pt>
                <c:pt idx="64">
                  <c:v>46.746606228318036</c:v>
                </c:pt>
                <c:pt idx="65">
                  <c:v>46.20692877613088</c:v>
                </c:pt>
                <c:pt idx="66">
                  <c:v>45.671922857908207</c:v>
                </c:pt>
                <c:pt idx="67">
                  <c:v>45.141979567062222</c:v>
                </c:pt>
                <c:pt idx="68">
                  <c:v>44.617485211431124</c:v>
                </c:pt>
                <c:pt idx="69">
                  <c:v>44.098820561264134</c:v>
                </c:pt>
                <c:pt idx="70">
                  <c:v>43.586360138579948</c:v>
                </c:pt>
                <c:pt idx="71">
                  <c:v>43.080471551575265</c:v>
                </c:pt>
                <c:pt idx="72">
                  <c:v>42.581514877270415</c:v>
                </c:pt>
                <c:pt idx="73">
                  <c:v>42.089842095059801</c:v>
                </c:pt>
                <c:pt idx="74">
                  <c:v>41.605796573302477</c:v>
                </c:pt>
                <c:pt idx="75">
                  <c:v>41.12971261054814</c:v>
                </c:pt>
                <c:pt idx="76">
                  <c:v>40.661915032463384</c:v>
                </c:pt>
                <c:pt idx="77">
                  <c:v>40.202718844987629</c:v>
                </c:pt>
                <c:pt idx="78">
                  <c:v>39.752428943754488</c:v>
                </c:pt>
                <c:pt idx="79">
                  <c:v>39.311339879308761</c:v>
                </c:pt>
                <c:pt idx="80">
                  <c:v>38.879735677209105</c:v>
                </c:pt>
                <c:pt idx="81">
                  <c:v>38.457889711672017</c:v>
                </c:pt>
                <c:pt idx="82">
                  <c:v>38.046064631032856</c:v>
                </c:pt>
                <c:pt idx="83">
                  <c:v>37.644512332942909</c:v>
                </c:pt>
                <c:pt idx="84">
                  <c:v>37.253473986926721</c:v>
                </c:pt>
                <c:pt idx="85">
                  <c:v>36.87318010165616</c:v>
                </c:pt>
                <c:pt idx="86">
                  <c:v>36.503850634072883</c:v>
                </c:pt>
                <c:pt idx="87">
                  <c:v>36.145695137328225</c:v>
                </c:pt>
                <c:pt idx="88">
                  <c:v>35.798912944353184</c:v>
                </c:pt>
                <c:pt idx="89">
                  <c:v>35.463693383798066</c:v>
                </c:pt>
                <c:pt idx="90">
                  <c:v>35.140216025004584</c:v>
                </c:pt>
                <c:pt idx="91">
                  <c:v>34.828650948658606</c:v>
                </c:pt>
                <c:pt idx="92">
                  <c:v>34.529159039779529</c:v>
                </c:pt>
                <c:pt idx="93">
                  <c:v>34.241892299733607</c:v>
                </c:pt>
                <c:pt idx="94">
                  <c:v>33.966994174032585</c:v>
                </c:pt>
                <c:pt idx="95">
                  <c:v>33.704599892751673</c:v>
                </c:pt>
                <c:pt idx="96">
                  <c:v>33.454836820511503</c:v>
                </c:pt>
                <c:pt idx="97">
                  <c:v>33.217824813090701</c:v>
                </c:pt>
                <c:pt idx="98">
                  <c:v>32.993676577860334</c:v>
                </c:pt>
                <c:pt idx="99">
                  <c:v>32.782498035383689</c:v>
                </c:pt>
                <c:pt idx="100">
                  <c:v>32.584388679666212</c:v>
                </c:pt>
                <c:pt idx="101">
                  <c:v>32.399441934695794</c:v>
                </c:pt>
                <c:pt idx="102">
                  <c:v>32.227745505077792</c:v>
                </c:pt>
                <c:pt idx="103">
                  <c:v>32.069381718711959</c:v>
                </c:pt>
                <c:pt idx="104">
                  <c:v>31.92442785963031</c:v>
                </c:pt>
                <c:pt idx="105">
                  <c:v>31.792956489249502</c:v>
                </c:pt>
                <c:pt idx="106">
                  <c:v>31.675035754457571</c:v>
                </c:pt>
                <c:pt idx="107">
                  <c:v>31.570729681084721</c:v>
                </c:pt>
                <c:pt idx="108">
                  <c:v>31.480098451453099</c:v>
                </c:pt>
                <c:pt idx="109">
                  <c:v>31.403198664829812</c:v>
                </c:pt>
                <c:pt idx="110">
                  <c:v>31.340083579732411</c:v>
                </c:pt>
                <c:pt idx="111">
                  <c:v>31.290803337152028</c:v>
                </c:pt>
                <c:pt idx="112">
                  <c:v>31.255405163878049</c:v>
                </c:pt>
                <c:pt idx="113">
                  <c:v>31.233933555202309</c:v>
                </c:pt>
                <c:pt idx="114">
                  <c:v>31.226430436391482</c:v>
                </c:pt>
                <c:pt idx="115">
                  <c:v>31.232935302398907</c:v>
                </c:pt>
                <c:pt idx="116">
                  <c:v>31.25348533538358</c:v>
                </c:pt>
                <c:pt idx="117">
                  <c:v>31.288115499681808</c:v>
                </c:pt>
                <c:pt idx="118">
                  <c:v>31.33685861395919</c:v>
                </c:pt>
                <c:pt idx="119">
                  <c:v>31.399745400347872</c:v>
                </c:pt>
                <c:pt idx="120">
                  <c:v>31.476804510444641</c:v>
                </c:pt>
                <c:pt idx="121">
                  <c:v>31.568062528124301</c:v>
                </c:pt>
                <c:pt idx="122">
                  <c:v>31.673543949188286</c:v>
                </c:pt>
                <c:pt idx="123">
                  <c:v>31.793271137945435</c:v>
                </c:pt>
                <c:pt idx="124">
                  <c:v>31.927264260897466</c:v>
                </c:pt>
                <c:pt idx="125">
                  <c:v>32.075541197769958</c:v>
                </c:pt>
                <c:pt idx="126">
                  <c:v>32.238117430216029</c:v>
                </c:pt>
                <c:pt idx="127">
                  <c:v>32.415005908598985</c:v>
                </c:pt>
                <c:pt idx="128">
                  <c:v>32.606216897344112</c:v>
                </c:pt>
                <c:pt idx="129">
                  <c:v>32.811757799448316</c:v>
                </c:pt>
                <c:pt idx="130">
                  <c:v>33.03163296082392</c:v>
                </c:pt>
                <c:pt idx="131">
                  <c:v>33.26584345526436</c:v>
                </c:pt>
                <c:pt idx="132">
                  <c:v>33.514386850922634</c:v>
                </c:pt>
                <c:pt idx="133">
                  <c:v>33.777256959313732</c:v>
                </c:pt>
                <c:pt idx="134">
                  <c:v>34.054443567968455</c:v>
                </c:pt>
                <c:pt idx="135">
                  <c:v>34.345932158003535</c:v>
                </c:pt>
                <c:pt idx="136">
                  <c:v>34.651703607998492</c:v>
                </c:pt>
                <c:pt idx="137">
                  <c:v>34.971733885715821</c:v>
                </c:pt>
                <c:pt idx="138">
                  <c:v>35.305993729344983</c:v>
                </c:pt>
                <c:pt idx="139">
                  <c:v>35.65444832010354</c:v>
                </c:pt>
                <c:pt idx="140">
                  <c:v>36.017056948169092</c:v>
                </c:pt>
                <c:pt idx="141">
                  <c:v>36.393772674090641</c:v>
                </c:pt>
                <c:pt idx="142">
                  <c:v>36.784541987956217</c:v>
                </c:pt>
                <c:pt idx="143">
                  <c:v>37.189304468767951</c:v>
                </c:pt>
                <c:pt idx="144">
                  <c:v>37.60799244660334</c:v>
                </c:pt>
                <c:pt idx="145">
                  <c:v>38.040530670296505</c:v>
                </c:pt>
                <c:pt idx="146">
                  <c:v>38.486835983492853</c:v>
                </c:pt>
                <c:pt idx="147">
                  <c:v>38.946817012050694</c:v>
                </c:pt>
                <c:pt idx="148">
                  <c:v>39.420373865872975</c:v>
                </c:pt>
                <c:pt idx="149">
                  <c:v>39.907397858319683</c:v>
                </c:pt>
                <c:pt idx="150">
                  <c:v>40.407771246431942</c:v>
                </c:pt>
                <c:pt idx="151">
                  <c:v>40.921366995216758</c:v>
                </c:pt>
                <c:pt idx="152">
                  <c:v>41.44804856926271</c:v>
                </c:pt>
                <c:pt idx="153">
                  <c:v>41.987669754920901</c:v>
                </c:pt>
                <c:pt idx="154">
                  <c:v>42.54007451623545</c:v>
                </c:pt>
                <c:pt idx="155">
                  <c:v>43.105096887704775</c:v>
                </c:pt>
                <c:pt idx="156">
                  <c:v>43.682560906819418</c:v>
                </c:pt>
                <c:pt idx="157">
                  <c:v>44.272280589147137</c:v>
                </c:pt>
                <c:pt idx="158">
                  <c:v>44.874059948510649</c:v>
                </c:pt>
                <c:pt idx="159">
                  <c:v>45.487693064540935</c:v>
                </c:pt>
                <c:pt idx="160">
                  <c:v>46.112964199586678</c:v>
                </c:pt>
                <c:pt idx="161">
                  <c:v>46.749647966595475</c:v>
                </c:pt>
                <c:pt idx="162">
                  <c:v>47.397509549213702</c:v>
                </c:pt>
                <c:pt idx="163">
                  <c:v>48.056304974904208</c:v>
                </c:pt>
                <c:pt idx="164">
                  <c:v>48.725781441427344</c:v>
                </c:pt>
                <c:pt idx="165">
                  <c:v>49.40567769654303</c:v>
                </c:pt>
                <c:pt idx="166">
                  <c:v>50.095724470260926</c:v>
                </c:pt>
                <c:pt idx="167">
                  <c:v>50.795644958449181</c:v>
                </c:pt>
                <c:pt idx="168">
                  <c:v>51.505155356050288</c:v>
                </c:pt>
                <c:pt idx="169">
                  <c:v>52.223965437613636</c:v>
                </c:pt>
                <c:pt idx="170">
                  <c:v>52.951779182303319</c:v>
                </c:pt>
                <c:pt idx="171">
                  <c:v>53.688295440010826</c:v>
                </c:pt>
                <c:pt idx="172">
                  <c:v>54.433208634689166</c:v>
                </c:pt>
                <c:pt idx="173">
                  <c:v>55.186209500545026</c:v>
                </c:pt>
                <c:pt idx="174">
                  <c:v>55.946985846274998</c:v>
                </c:pt>
                <c:pt idx="175">
                  <c:v>56.715223342147446</c:v>
                </c:pt>
                <c:pt idx="176">
                  <c:v>57.490606324368379</c:v>
                </c:pt>
                <c:pt idx="177">
                  <c:v>58.272818610897978</c:v>
                </c:pt>
                <c:pt idx="178">
                  <c:v>59.061544322651372</c:v>
                </c:pt>
                <c:pt idx="179">
                  <c:v>59.856468703866589</c:v>
                </c:pt>
                <c:pt idx="180">
                  <c:v>60.657278935342688</c:v>
                </c:pt>
                <c:pt idx="181">
                  <c:v>61.46366493423016</c:v>
                </c:pt>
                <c:pt idx="182">
                  <c:v>62.275320134133992</c:v>
                </c:pt>
                <c:pt idx="183">
                  <c:v>63.091942239402222</c:v>
                </c:pt>
                <c:pt idx="184">
                  <c:v>63.913233947702196</c:v>
                </c:pt>
                <c:pt idx="185">
                  <c:v>64.738903635234806</c:v>
                </c:pt>
                <c:pt idx="186">
                  <c:v>65.568665999276689</c:v>
                </c:pt>
                <c:pt idx="187">
                  <c:v>66.402242653127033</c:v>
                </c:pt>
                <c:pt idx="188">
                  <c:v>67.239362668965498</c:v>
                </c:pt>
                <c:pt idx="189">
                  <c:v>68.079763064605672</c:v>
                </c:pt>
                <c:pt idx="190">
                  <c:v>68.923189230641242</c:v>
                </c:pt>
                <c:pt idx="191">
                  <c:v>69.769395295001644</c:v>
                </c:pt>
                <c:pt idx="192">
                  <c:v>70.618144422510767</c:v>
                </c:pt>
                <c:pt idx="193">
                  <c:v>71.469209047578062</c:v>
                </c:pt>
                <c:pt idx="194">
                  <c:v>72.322371038738069</c:v>
                </c:pt>
                <c:pt idx="195">
                  <c:v>73.177421794292428</c:v>
                </c:pt>
                <c:pt idx="196">
                  <c:v>74.034162268875633</c:v>
                </c:pt>
                <c:pt idx="197">
                  <c:v>74.892402931282646</c:v>
                </c:pt>
                <c:pt idx="198">
                  <c:v>75.751963654406737</c:v>
                </c:pt>
                <c:pt idx="199">
                  <c:v>76.612673538624392</c:v>
                </c:pt>
                <c:pt idx="200">
                  <c:v>77.474370670406813</c:v>
                </c:pt>
                <c:pt idx="201">
                  <c:v>78.336901818362904</c:v>
                </c:pt>
                <c:pt idx="202">
                  <c:v>79.200122069300633</c:v>
                </c:pt>
                <c:pt idx="203">
                  <c:v>80.063894407250231</c:v>
                </c:pt>
                <c:pt idx="204">
                  <c:v>80.928089238702583</c:v>
                </c:pt>
                <c:pt idx="205">
                  <c:v>81.792583867602431</c:v>
                </c:pt>
                <c:pt idx="206">
                  <c:v>82.657261923883596</c:v>
                </c:pt>
                <c:pt idx="207">
                  <c:v>83.522012749554307</c:v>
                </c:pt>
                <c:pt idx="208">
                  <c:v>84.386730746518538</c:v>
                </c:pt>
                <c:pt idx="209">
                  <c:v>85.251314690494709</c:v>
                </c:pt>
                <c:pt idx="210">
                  <c:v>86.115667015510553</c:v>
                </c:pt>
                <c:pt idx="211">
                  <c:v>86.979693073574552</c:v>
                </c:pt>
                <c:pt idx="212">
                  <c:v>87.843300374209775</c:v>
                </c:pt>
                <c:pt idx="213">
                  <c:v>88.7063978086031</c:v>
                </c:pt>
                <c:pt idx="214">
                  <c:v>89.568894863176496</c:v>
                </c:pt>
                <c:pt idx="215">
                  <c:v>90.430700827420651</c:v>
                </c:pt>
                <c:pt idx="216">
                  <c:v>91.291724000846386</c:v>
                </c:pt>
                <c:pt idx="217">
                  <c:v>92.151870903916134</c:v>
                </c:pt>
                <c:pt idx="218">
                  <c:v>93.011045497802257</c:v>
                </c:pt>
                <c:pt idx="219">
                  <c:v>93.86914841778794</c:v>
                </c:pt>
                <c:pt idx="220">
                  <c:v>94.726076225087184</c:v>
                </c:pt>
                <c:pt idx="221">
                  <c:v>95.581720681790159</c:v>
                </c:pt>
                <c:pt idx="222">
                  <c:v>96.435968053562959</c:v>
                </c:pt>
                <c:pt idx="223">
                  <c:v>97.288698444625894</c:v>
                </c:pt>
                <c:pt idx="224">
                  <c:v>98.139785169403865</c:v>
                </c:pt>
                <c:pt idx="225">
                  <c:v>98.989094165101847</c:v>
                </c:pt>
                <c:pt idx="226">
                  <c:v>99.836483449266225</c:v>
                </c:pt>
                <c:pt idx="227">
                  <c:v>100.68180262619421</c:v>
                </c:pt>
                <c:pt idx="228">
                  <c:v>101.52489244581179</c:v>
                </c:pt>
                <c:pt idx="229">
                  <c:v>102.36558441837334</c:v>
                </c:pt>
                <c:pt idx="230">
                  <c:v>103.20370048801504</c:v>
                </c:pt>
                <c:pt idx="231">
                  <c:v>104.03905276787954</c:v>
                </c:pt>
                <c:pt idx="232">
                  <c:v>104.87144333912944</c:v>
                </c:pt>
                <c:pt idx="233">
                  <c:v>105.7006641157743</c:v>
                </c:pt>
                <c:pt idx="234">
                  <c:v>106.52649677678764</c:v>
                </c:pt>
                <c:pt idx="235">
                  <c:v>107.34871276651835</c:v>
                </c:pt>
                <c:pt idx="236">
                  <c:v>108.1670733639033</c:v>
                </c:pt>
                <c:pt idx="237">
                  <c:v>108.98132982046319</c:v>
                </c:pt>
                <c:pt idx="238">
                  <c:v>109.79122356652141</c:v>
                </c:pt>
                <c:pt idx="239">
                  <c:v>110.59648648452813</c:v>
                </c:pt>
                <c:pt idx="240">
                  <c:v>111.3968412478151</c:v>
                </c:pt>
                <c:pt idx="241">
                  <c:v>112.19200172253713</c:v>
                </c:pt>
                <c:pt idx="242">
                  <c:v>112.9816734300048</c:v>
                </c:pt>
                <c:pt idx="243">
                  <c:v>113.76555406607197</c:v>
                </c:pt>
                <c:pt idx="244">
                  <c:v>114.54333407372431</c:v>
                </c:pt>
                <c:pt idx="245">
                  <c:v>115.31469726452976</c:v>
                </c:pt>
                <c:pt idx="246">
                  <c:v>116.07932148416718</c:v>
                </c:pt>
                <c:pt idx="247">
                  <c:v>116.83687931684176</c:v>
                </c:pt>
                <c:pt idx="248">
                  <c:v>117.58703882306131</c:v>
                </c:pt>
                <c:pt idx="249">
                  <c:v>118.32946430494478</c:v>
                </c:pt>
                <c:pt idx="250">
                  <c:v>119.06381709302718</c:v>
                </c:pt>
                <c:pt idx="251">
                  <c:v>119.78975634835449</c:v>
                </c:pt>
                <c:pt idx="252">
                  <c:v>120.50693987359351</c:v>
                </c:pt>
                <c:pt idx="253">
                  <c:v>121.21502492685723</c:v>
                </c:pt>
                <c:pt idx="254">
                  <c:v>121.91366903202434</c:v>
                </c:pt>
                <c:pt idx="255">
                  <c:v>122.60253077944947</c:v>
                </c:pt>
                <c:pt idx="256">
                  <c:v>123.28127061117716</c:v>
                </c:pt>
                <c:pt idx="257">
                  <c:v>123.94955158503657</c:v>
                </c:pt>
                <c:pt idx="258">
                  <c:v>124.60704011232657</c:v>
                </c:pt>
                <c:pt idx="259">
                  <c:v>125.25340666418009</c:v>
                </c:pt>
                <c:pt idx="260">
                  <c:v>125.88832644213851</c:v>
                </c:pt>
                <c:pt idx="261">
                  <c:v>126.51148000893208</c:v>
                </c:pt>
                <c:pt idx="262">
                  <c:v>127.12255387596893</c:v>
                </c:pt>
                <c:pt idx="263">
                  <c:v>127.72124104457177</c:v>
                </c:pt>
                <c:pt idx="264">
                  <c:v>128.30724149853063</c:v>
                </c:pt>
                <c:pt idx="265">
                  <c:v>128.88026264610997</c:v>
                </c:pt>
                <c:pt idx="266">
                  <c:v>129.44001971018236</c:v>
                </c:pt>
                <c:pt idx="267">
                  <c:v>129.98623606571533</c:v>
                </c:pt>
                <c:pt idx="268">
                  <c:v>130.5186435243522</c:v>
                </c:pt>
                <c:pt idx="269">
                  <c:v>131.03698256633984</c:v>
                </c:pt>
                <c:pt idx="270">
                  <c:v>131.5410025205255</c:v>
                </c:pt>
                <c:pt idx="271">
                  <c:v>132.03046169359047</c:v>
                </c:pt>
                <c:pt idx="272">
                  <c:v>132.50512745008984</c:v>
                </c:pt>
                <c:pt idx="273">
                  <c:v>132.96477624523763</c:v>
                </c:pt>
                <c:pt idx="274">
                  <c:v>133.4091936126934</c:v>
                </c:pt>
                <c:pt idx="275">
                  <c:v>133.83817410989741</c:v>
                </c:pt>
                <c:pt idx="276">
                  <c:v>134.25152122372799</c:v>
                </c:pt>
                <c:pt idx="277">
                  <c:v>134.64904723945256</c:v>
                </c:pt>
                <c:pt idx="278">
                  <c:v>135.03057307610155</c:v>
                </c:pt>
                <c:pt idx="279">
                  <c:v>135.39592809149335</c:v>
                </c:pt>
                <c:pt idx="280">
                  <c:v>135.74494986022566</c:v>
                </c:pt>
                <c:pt idx="281">
                  <c:v>136.07748392797328</c:v>
                </c:pt>
                <c:pt idx="282">
                  <c:v>136.39338354544765</c:v>
                </c:pt>
                <c:pt idx="283">
                  <c:v>136.69250938533654</c:v>
                </c:pt>
                <c:pt idx="284">
                  <c:v>136.97472924550192</c:v>
                </c:pt>
                <c:pt idx="285">
                  <c:v>137.23991774162664</c:v>
                </c:pt>
                <c:pt idx="286">
                  <c:v>137.48795599241288</c:v>
                </c:pt>
                <c:pt idx="287">
                  <c:v>137.71873130031645</c:v>
                </c:pt>
                <c:pt idx="288">
                  <c:v>137.93213683067509</c:v>
                </c:pt>
                <c:pt idx="289">
                  <c:v>138.12807129195383</c:v>
                </c:pt>
                <c:pt idx="290">
                  <c:v>138.30643861967303</c:v>
                </c:pt>
                <c:pt idx="291">
                  <c:v>138.46714766644314</c:v>
                </c:pt>
                <c:pt idx="292">
                  <c:v>138.61011190036422</c:v>
                </c:pt>
                <c:pt idx="293">
                  <c:v>138.73524911388989</c:v>
                </c:pt>
                <c:pt idx="294">
                  <c:v>138.84248114509862</c:v>
                </c:pt>
                <c:pt idx="295">
                  <c:v>138.93173361314925</c:v>
                </c:pt>
                <c:pt idx="296">
                  <c:v>139.00293566954696</c:v>
                </c:pt>
                <c:pt idx="297">
                  <c:v>139.05601976668581</c:v>
                </c:pt>
                <c:pt idx="298">
                  <c:v>139.09092144498595</c:v>
                </c:pt>
                <c:pt idx="299">
                  <c:v>139.10757913979472</c:v>
                </c:pt>
                <c:pt idx="300">
                  <c:v>139.10593400907777</c:v>
                </c:pt>
                <c:pt idx="301">
                  <c:v>139.08592978278591</c:v>
                </c:pt>
                <c:pt idx="302">
                  <c:v>139.04751263465107</c:v>
                </c:pt>
                <c:pt idx="303">
                  <c:v>138.9906310770302</c:v>
                </c:pt>
                <c:pt idx="304">
                  <c:v>138.91523587928629</c:v>
                </c:pt>
                <c:pt idx="305">
                  <c:v>138.82128001007598</c:v>
                </c:pt>
                <c:pt idx="306">
                  <c:v>138.70871860377713</c:v>
                </c:pt>
                <c:pt idx="307">
                  <c:v>138.57750895118539</c:v>
                </c:pt>
                <c:pt idx="308">
                  <c:v>138.42761051446368</c:v>
                </c:pt>
                <c:pt idx="309">
                  <c:v>138.25898496623259</c:v>
                </c:pt>
                <c:pt idx="310">
                  <c:v>138.07159625254067</c:v>
                </c:pt>
                <c:pt idx="311">
                  <c:v>137.86541067935138</c:v>
                </c:pt>
                <c:pt idx="312">
                  <c:v>137.64039702204519</c:v>
                </c:pt>
                <c:pt idx="313">
                  <c:v>137.39652665730503</c:v>
                </c:pt>
                <c:pt idx="314">
                  <c:v>137.13377371663327</c:v>
                </c:pt>
                <c:pt idx="315">
                  <c:v>136.85211526059607</c:v>
                </c:pt>
                <c:pt idx="316">
                  <c:v>136.55153147276786</c:v>
                </c:pt>
                <c:pt idx="317">
                  <c:v>136.23200587219173</c:v>
                </c:pt>
                <c:pt idx="318">
                  <c:v>135.89352554303295</c:v>
                </c:pt>
                <c:pt idx="319">
                  <c:v>135.53608137995201</c:v>
                </c:pt>
                <c:pt idx="320">
                  <c:v>135.15966834756435</c:v>
                </c:pt>
                <c:pt idx="321">
                  <c:v>134.7642857522053</c:v>
                </c:pt>
                <c:pt idx="322">
                  <c:v>134.34993752405839</c:v>
                </c:pt>
                <c:pt idx="323">
                  <c:v>133.91663250754837</c:v>
                </c:pt>
                <c:pt idx="324">
                  <c:v>133.46438475774639</c:v>
                </c:pt>
                <c:pt idx="325">
                  <c:v>132.99321384038271</c:v>
                </c:pt>
                <c:pt idx="326">
                  <c:v>132.50314513291534</c:v>
                </c:pt>
                <c:pt idx="327">
                  <c:v>131.99421012396388</c:v>
                </c:pt>
                <c:pt idx="328">
                  <c:v>131.46644670828852</c:v>
                </c:pt>
                <c:pt idx="329">
                  <c:v>130.91989947437929</c:v>
                </c:pt>
                <c:pt idx="330">
                  <c:v>130.35461998162023</c:v>
                </c:pt>
                <c:pt idx="331">
                  <c:v>129.77066702391014</c:v>
                </c:pt>
                <c:pt idx="332">
                  <c:v>129.16810687656428</c:v>
                </c:pt>
                <c:pt idx="333">
                  <c:v>128.54701352328249</c:v>
                </c:pt>
                <c:pt idx="334">
                  <c:v>127.90746885997395</c:v>
                </c:pt>
                <c:pt idx="335">
                  <c:v>127.24956287223667</c:v>
                </c:pt>
                <c:pt idx="336">
                  <c:v>126.57339378336972</c:v>
                </c:pt>
                <c:pt idx="337">
                  <c:v>125.87906816987575</c:v>
                </c:pt>
                <c:pt idx="338">
                  <c:v>125.16670104155645</c:v>
                </c:pt>
                <c:pt idx="339">
                  <c:v>124.4364158834815</c:v>
                </c:pt>
                <c:pt idx="340">
                  <c:v>123.68834465732142</c:v>
                </c:pt>
                <c:pt idx="341">
                  <c:v>122.92262775980461</c:v>
                </c:pt>
                <c:pt idx="342">
                  <c:v>122.13941393636138</c:v>
                </c:pt>
                <c:pt idx="343">
                  <c:v>121.33886014836123</c:v>
                </c:pt>
                <c:pt idx="344">
                  <c:v>120.52113139273591</c:v>
                </c:pt>
                <c:pt idx="345">
                  <c:v>119.68640047320598</c:v>
                </c:pt>
                <c:pt idx="346">
                  <c:v>118.83484772278008</c:v>
                </c:pt>
                <c:pt idx="347">
                  <c:v>117.96666067769006</c:v>
                </c:pt>
                <c:pt idx="348">
                  <c:v>117.08203370341955</c:v>
                </c:pt>
                <c:pt idx="349">
                  <c:v>116.18116757402471</c:v>
                </c:pt>
                <c:pt idx="350">
                  <c:v>115.26426900647125</c:v>
                </c:pt>
                <c:pt idx="351">
                  <c:v>114.33155015225738</c:v>
                </c:pt>
                <c:pt idx="352">
                  <c:v>113.38322804911587</c:v>
                </c:pt>
                <c:pt idx="353">
                  <c:v>112.41952403611998</c:v>
                </c:pt>
                <c:pt idx="354">
                  <c:v>111.44066313599753</c:v>
                </c:pt>
                <c:pt idx="355">
                  <c:v>110.44687340893871</c:v>
                </c:pt>
                <c:pt idx="356">
                  <c:v>109.43838528258765</c:v>
                </c:pt>
                <c:pt idx="357">
                  <c:v>108.41543086329717</c:v>
                </c:pt>
                <c:pt idx="358">
                  <c:v>107.37824323403849</c:v>
                </c:pt>
                <c:pt idx="359">
                  <c:v>106.32705574461119</c:v>
                </c:pt>
                <c:pt idx="360">
                  <c:v>105.26210129999129</c:v>
                </c:pt>
                <c:pt idx="361">
                  <c:v>104.18361165276774</c:v>
                </c:pt>
                <c:pt idx="362">
                  <c:v>103.09181670565214</c:v>
                </c:pt>
                <c:pt idx="363">
                  <c:v>101.98694383001201</c:v>
                </c:pt>
                <c:pt idx="364">
                  <c:v>100.86921720624827</c:v>
                </c:pt>
                <c:pt idx="365">
                  <c:v>99.738857191656564</c:v>
                </c:pt>
                <c:pt idx="366">
                  <c:v>98.596079721114648</c:v>
                </c:pt>
                <c:pt idx="367">
                  <c:v>97.441095745613325</c:v>
                </c:pt>
                <c:pt idx="368">
                  <c:v>96.27411071321535</c:v>
                </c:pt>
                <c:pt idx="369">
                  <c:v>95.095324096566571</c:v>
                </c:pt>
                <c:pt idx="370">
                  <c:v>93.904928970538393</c:v>
                </c:pt>
                <c:pt idx="371">
                  <c:v>92.703111643003822</c:v>
                </c:pt>
                <c:pt idx="372">
                  <c:v>91.490051341141779</c:v>
                </c:pt>
                <c:pt idx="373">
                  <c:v>90.265919955001934</c:v>
                </c:pt>
                <c:pt idx="374">
                  <c:v>89.03088183939829</c:v>
                </c:pt>
                <c:pt idx="375">
                  <c:v>87.785093674523296</c:v>
                </c:pt>
                <c:pt idx="376">
                  <c:v>86.528704384981282</c:v>
                </c:pt>
                <c:pt idx="377">
                  <c:v>85.26185511626835</c:v>
                </c:pt>
                <c:pt idx="378">
                  <c:v>83.984679267063768</c:v>
                </c:pt>
                <c:pt idx="379">
                  <c:v>82.697302575049207</c:v>
                </c:pt>
                <c:pt idx="380">
                  <c:v>81.399843253374357</c:v>
                </c:pt>
                <c:pt idx="381">
                  <c:v>80.092412174310013</c:v>
                </c:pt>
                <c:pt idx="382">
                  <c:v>78.775113096098693</c:v>
                </c:pt>
                <c:pt idx="383">
                  <c:v>77.448042928545107</c:v>
                </c:pt>
                <c:pt idx="384">
                  <c:v>76.111292032454145</c:v>
                </c:pt>
                <c:pt idx="385">
                  <c:v>74.764944547668975</c:v>
                </c:pt>
                <c:pt idx="386">
                  <c:v>73.409078744161633</c:v>
                </c:pt>
                <c:pt idx="387">
                  <c:v>72.043767390381802</c:v>
                </c:pt>
                <c:pt idx="388">
                  <c:v>70.669078132918926</c:v>
                </c:pt>
                <c:pt idx="389">
                  <c:v>69.285073881428019</c:v>
                </c:pt>
                <c:pt idx="390">
                  <c:v>67.891813192748188</c:v>
                </c:pt>
                <c:pt idx="391">
                  <c:v>66.489350648184086</c:v>
                </c:pt>
                <c:pt idx="392">
                  <c:v>65.077737218062126</c:v>
                </c:pt>
                <c:pt idx="393">
                  <c:v>63.657020607837012</c:v>
                </c:pt>
                <c:pt idx="394">
                  <c:v>62.227245580320542</c:v>
                </c:pt>
                <c:pt idx="395">
                  <c:v>60.788454248919372</c:v>
                </c:pt>
                <c:pt idx="396">
                  <c:v>59.34068633718293</c:v>
                </c:pt>
                <c:pt idx="397">
                  <c:v>57.883979400429922</c:v>
                </c:pt>
                <c:pt idx="398">
                  <c:v>56.418369005761143</c:v>
                </c:pt>
                <c:pt idx="399">
                  <c:v>54.9438888673481</c:v>
                </c:pt>
                <c:pt idx="400">
                  <c:v>53.460570934545238</c:v>
                </c:pt>
                <c:pt idx="401">
                  <c:v>51.968445431063429</c:v>
                </c:pt>
                <c:pt idx="402">
                  <c:v>50.467540844182807</c:v>
                </c:pt>
                <c:pt idx="403">
                  <c:v>48.957883863767208</c:v>
                </c:pt>
                <c:pt idx="404">
                  <c:v>47.439499271633835</c:v>
                </c:pt>
                <c:pt idx="405">
                  <c:v>45.912409782687142</c:v>
                </c:pt>
                <c:pt idx="406">
                  <c:v>44.376635840040841</c:v>
                </c:pt>
                <c:pt idx="407">
                  <c:v>42.832195367232451</c:v>
                </c:pt>
                <c:pt idx="408">
                  <c:v>41.279103481461405</c:v>
                </c:pt>
                <c:pt idx="409">
                  <c:v>39.717372172632111</c:v>
                </c:pt>
                <c:pt idx="410">
                  <c:v>38.147009953805131</c:v>
                </c:pt>
                <c:pt idx="411">
                  <c:v>36.568021489435409</c:v>
                </c:pt>
                <c:pt idx="412">
                  <c:v>34.980407208557807</c:v>
                </c:pt>
                <c:pt idx="413">
                  <c:v>33.384162910765774</c:v>
                </c:pt>
                <c:pt idx="414">
                  <c:v>31.779279373515635</c:v>
                </c:pt>
                <c:pt idx="415">
                  <c:v>30.165741969876535</c:v>
                </c:pt>
                <c:pt idx="416">
                  <c:v>28.543530306403348</c:v>
                </c:pt>
                <c:pt idx="417">
                  <c:v>26.912617891271172</c:v>
                </c:pt>
                <c:pt idx="418">
                  <c:v>25.272971843236675</c:v>
                </c:pt>
                <c:pt idx="419">
                  <c:v>23.624552652292813</c:v>
                </c:pt>
                <c:pt idx="420">
                  <c:v>21.96731400315748</c:v>
                </c:pt>
                <c:pt idx="421">
                  <c:v>20.301202672891812</c:v>
                </c:pt>
                <c:pt idx="422">
                  <c:v>18.626158514037058</c:v>
                </c:pt>
                <c:pt idx="423">
                  <c:v>16.94211453464408</c:v>
                </c:pt>
                <c:pt idx="424">
                  <c:v>15.248997086492146</c:v>
                </c:pt>
                <c:pt idx="425">
                  <c:v>13.546726172588766</c:v>
                </c:pt>
                <c:pt idx="426">
                  <c:v>11.83521588475962</c:v>
                </c:pt>
                <c:pt idx="427">
                  <c:v>10.114374981747972</c:v>
                </c:pt>
                <c:pt idx="428">
                  <c:v>8.384107617713342</c:v>
                </c:pt>
                <c:pt idx="429">
                  <c:v>6.6443142303856879</c:v>
                </c:pt>
                <c:pt idx="430">
                  <c:v>4.8948925973657822</c:v>
                </c:pt>
                <c:pt idx="431">
                  <c:v>3.1357390681005866</c:v>
                </c:pt>
                <c:pt idx="432">
                  <c:v>1.366749977982884</c:v>
                </c:pt>
                <c:pt idx="433">
                  <c:v>-0.41217675029770223</c:v>
                </c:pt>
                <c:pt idx="434">
                  <c:v>-2.2011398145173433</c:v>
                </c:pt>
                <c:pt idx="435">
                  <c:v>-4.0002325479158181</c:v>
                </c:pt>
                <c:pt idx="436">
                  <c:v>-5.8095407415620359</c:v>
                </c:pt>
                <c:pt idx="437">
                  <c:v>-7.6291402764874157</c:v>
                </c:pt>
                <c:pt idx="438">
                  <c:v>-9.4590945705914891</c:v>
                </c:pt>
                <c:pt idx="439">
                  <c:v>-11.299451848210868</c:v>
                </c:pt>
                <c:pt idx="440">
                  <c:v>-13.150242243469808</c:v>
                </c:pt>
                <c:pt idx="441">
                  <c:v>-15.011474752095623</c:v>
                </c:pt>
                <c:pt idx="442">
                  <c:v>-16.883134050228612</c:v>
                </c:pt>
                <c:pt idx="443">
                  <c:v>-18.765177202938968</c:v>
                </c:pt>
                <c:pt idx="444">
                  <c:v>-20.657530289576219</c:v>
                </c:pt>
                <c:pt idx="445">
                  <c:v>-22.560084977689517</c:v>
                </c:pt>
                <c:pt idx="446">
                  <c:v>-24.472695081995514</c:v>
                </c:pt>
                <c:pt idx="447">
                  <c:v>-26.395173149621225</c:v>
                </c:pt>
                <c:pt idx="448">
                  <c:v>-28.327287117486616</c:v>
                </c:pt>
                <c:pt idx="449">
                  <c:v>-30.26875709207145</c:v>
                </c:pt>
                <c:pt idx="450">
                  <c:v>-32.219252305760229</c:v>
                </c:pt>
                <c:pt idx="451">
                  <c:v>-34.178388307267035</c:v>
                </c:pt>
                <c:pt idx="452">
                  <c:v>-36.145724446144932</c:v>
                </c:pt>
                <c:pt idx="453">
                  <c:v>-38.120761712807791</c:v>
                </c:pt>
                <c:pt idx="454">
                  <c:v>-40.10294099567831</c:v>
                </c:pt>
                <c:pt idx="455">
                  <c:v>-42.091641815804103</c:v>
                </c:pt>
                <c:pt idx="456">
                  <c:v>-44.086181596348354</c:v>
                </c:pt>
                <c:pt idx="457">
                  <c:v>-46.085815519709307</c:v>
                </c:pt>
                <c:pt idx="458">
                  <c:v>-48.089737018457825</c:v>
                </c:pt>
                <c:pt idx="459">
                  <c:v>-50.097078937897976</c:v>
                </c:pt>
                <c:pt idx="460">
                  <c:v>-52.106915397835635</c:v>
                </c:pt>
                <c:pt idx="461">
                  <c:v>-54.118264369261652</c:v>
                </c:pt>
                <c:pt idx="462">
                  <c:v>-56.130090968358239</c:v>
                </c:pt>
                <c:pt idx="463">
                  <c:v>-58.14131145582823</c:v>
                </c:pt>
                <c:pt idx="464">
                  <c:v>-60.150797914438947</c:v>
                </c:pt>
                <c:pt idx="465">
                  <c:v>-62.157383562343142</c:v>
                </c:pt>
                <c:pt idx="466">
                  <c:v>-64.159868644721598</c:v>
                </c:pt>
                <c:pt idx="467">
                  <c:v>-66.15702683208724</c:v>
                </c:pt>
                <c:pt idx="468">
                  <c:v>-68.147612040825763</c:v>
                </c:pt>
                <c:pt idx="469">
                  <c:v>-70.1303655806542</c:v>
                </c:pt>
                <c:pt idx="470">
                  <c:v>-72.104023525161566</c:v>
                </c:pt>
                <c:pt idx="471">
                  <c:v>-74.067324195793958</c:v>
                </c:pt>
                <c:pt idx="472">
                  <c:v>-76.019015646806025</c:v>
                </c:pt>
                <c:pt idx="473">
                  <c:v>-77.957863038970117</c:v>
                </c:pt>
                <c:pt idx="474">
                  <c:v>-79.88265579315744</c:v>
                </c:pt>
                <c:pt idx="475">
                  <c:v>-81.792214421159613</c:v>
                </c:pt>
                <c:pt idx="476">
                  <c:v>-83.685396940048165</c:v>
                </c:pt>
                <c:pt idx="477">
                  <c:v>-85.561104787528294</c:v>
                </c:pt>
                <c:pt idx="478">
                  <c:v>-87.418288168741256</c:v>
                </c:pt>
                <c:pt idx="479">
                  <c:v>-89.255950779228385</c:v>
                </c:pt>
                <c:pt idx="480">
                  <c:v>-91.073153863763764</c:v>
                </c:pt>
                <c:pt idx="481">
                  <c:v>-92.869019585942141</c:v>
                </c:pt>
                <c:pt idx="482">
                  <c:v>-94.642733698262575</c:v>
                </c:pt>
                <c:pt idx="483">
                  <c:v>-96.393547516498501</c:v>
                </c:pt>
                <c:pt idx="484">
                  <c:v>-98.120779215034659</c:v>
                </c:pt>
                <c:pt idx="485">
                  <c:v>-99.823814471234016</c:v>
                </c:pt>
                <c:pt idx="486">
                  <c:v>-101.50210649659653</c:v>
                </c:pt>
                <c:pt idx="487">
                  <c:v>-103.15517550033502</c:v>
                </c:pt>
                <c:pt idx="488">
                  <c:v>-104.78260763698017</c:v>
                </c:pt>
                <c:pt idx="489">
                  <c:v>-106.38405349379687</c:v>
                </c:pt>
                <c:pt idx="490">
                  <c:v>-107.95922617619657</c:v>
                </c:pt>
                <c:pt idx="491">
                  <c:v>-109.50789905016407</c:v>
                </c:pt>
                <c:pt idx="492">
                  <c:v>-111.02990320012609</c:v>
                </c:pt>
                <c:pt idx="493">
                  <c:v>-112.52512465890142</c:v>
                </c:pt>
                <c:pt idx="494">
                  <c:v>-113.99350146359278</c:v>
                </c:pt>
                <c:pt idx="495">
                  <c:v>-115.43502058773151</c:v>
                </c:pt>
                <c:pt idx="496">
                  <c:v>-116.849714795879</c:v>
                </c:pt>
                <c:pt idx="497">
                  <c:v>-118.23765946239891</c:v>
                </c:pt>
                <c:pt idx="498">
                  <c:v>-119.59896939143363</c:v>
                </c:pt>
                <c:pt idx="499">
                  <c:v>-120.93379567038406</c:v>
                </c:pt>
                <c:pt idx="500">
                  <c:v>-122.2423225845253</c:v>
                </c:pt>
                <c:pt idx="501">
                  <c:v>-123.52476461590811</c:v>
                </c:pt>
                <c:pt idx="502">
                  <c:v>-124.78136354544691</c:v>
                </c:pt>
                <c:pt idx="503">
                  <c:v>-126.01238567317009</c:v>
                </c:pt>
                <c:pt idx="504">
                  <c:v>-127.21811916801109</c:v>
                </c:pt>
                <c:pt idx="505">
                  <c:v>-128.3988715552882</c:v>
                </c:pt>
                <c:pt idx="506">
                  <c:v>-129.55496734717235</c:v>
                </c:pt>
                <c:pt idx="507">
                  <c:v>-130.68674581893114</c:v>
                </c:pt>
                <c:pt idx="508">
                  <c:v>-131.79455893161753</c:v>
                </c:pt>
                <c:pt idx="509">
                  <c:v>-132.87876940004287</c:v>
                </c:pt>
                <c:pt idx="510">
                  <c:v>-133.93974890339237</c:v>
                </c:pt>
                <c:pt idx="511">
                  <c:v>-134.97787643462419</c:v>
                </c:pt>
                <c:pt idx="512">
                  <c:v>-135.99353678381848</c:v>
                </c:pt>
                <c:pt idx="513">
                  <c:v>-136.98711914993376</c:v>
                </c:pt>
                <c:pt idx="514">
                  <c:v>-137.95901587487731</c:v>
                </c:pt>
                <c:pt idx="515">
                  <c:v>-138.90962129343498</c:v>
                </c:pt>
                <c:pt idx="516">
                  <c:v>-139.83933069239959</c:v>
                </c:pt>
                <c:pt idx="517">
                  <c:v>-140.74853937214036</c:v>
                </c:pt>
                <c:pt idx="518">
                  <c:v>-141.63764180386178</c:v>
                </c:pt>
                <c:pt idx="519">
                  <c:v>-142.50703087590745</c:v>
                </c:pt>
                <c:pt idx="520">
                  <c:v>-143.35709722261302</c:v>
                </c:pt>
                <c:pt idx="521">
                  <c:v>-144.18822862943523</c:v>
                </c:pt>
                <c:pt idx="522">
                  <c:v>-145.0008095083314</c:v>
                </c:pt>
                <c:pt idx="523">
                  <c:v>-145.79522043764715</c:v>
                </c:pt>
                <c:pt idx="524">
                  <c:v>-146.57183776107127</c:v>
                </c:pt>
                <c:pt idx="525">
                  <c:v>-147.33103324051928</c:v>
                </c:pt>
                <c:pt idx="526">
                  <c:v>-148.07317375813713</c:v>
                </c:pt>
                <c:pt idx="527">
                  <c:v>-148.79862106292177</c:v>
                </c:pt>
                <c:pt idx="528">
                  <c:v>-149.50773155776236</c:v>
                </c:pt>
                <c:pt idx="529">
                  <c:v>-150.20085612302867</c:v>
                </c:pt>
                <c:pt idx="530">
                  <c:v>-150.87833997309338</c:v>
                </c:pt>
                <c:pt idx="531">
                  <c:v>-151.54052254249163</c:v>
                </c:pt>
                <c:pt idx="532">
                  <c:v>-152.1877373986554</c:v>
                </c:pt>
                <c:pt idx="533">
                  <c:v>-152.82031217844002</c:v>
                </c:pt>
                <c:pt idx="534">
                  <c:v>-153.43856854586966</c:v>
                </c:pt>
                <c:pt idx="535">
                  <c:v>-154.04282216878158</c:v>
                </c:pt>
                <c:pt idx="536">
                  <c:v>-154.63338271222761</c:v>
                </c:pt>
                <c:pt idx="537">
                  <c:v>-155.21055384670777</c:v>
                </c:pt>
                <c:pt idx="538">
                  <c:v>-155.77463326947344</c:v>
                </c:pt>
                <c:pt idx="539">
                  <c:v>-156.32591273731194</c:v>
                </c:pt>
                <c:pt idx="540">
                  <c:v>-156.86467810937319</c:v>
                </c:pt>
                <c:pt idx="541">
                  <c:v>-157.39120939873811</c:v>
                </c:pt>
              </c:numCache>
            </c:numRef>
          </c:yVal>
          <c:smooth val="1"/>
          <c:extLst>
            <c:ext xmlns:c16="http://schemas.microsoft.com/office/drawing/2014/chart" uri="{C3380CC4-5D6E-409C-BE32-E72D297353CC}">
              <c16:uniqueId val="{0000000B-ECAC-4E20-B866-0DB1B3DE6FE8}"/>
            </c:ext>
          </c:extLst>
        </c:ser>
        <c:dLbls>
          <c:showLegendKey val="0"/>
          <c:showVal val="0"/>
          <c:showCatName val="0"/>
          <c:showSerName val="0"/>
          <c:showPercent val="0"/>
          <c:showBubbleSize val="0"/>
        </c:dLbls>
        <c:axId val="387647744"/>
        <c:axId val="364517248"/>
      </c:scatterChart>
      <c:valAx>
        <c:axId val="357835904"/>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DE"/>
          </a:p>
        </c:txPr>
        <c:crossAx val="364477056"/>
        <c:crosses val="autoZero"/>
        <c:crossBetween val="midCat"/>
      </c:valAx>
      <c:valAx>
        <c:axId val="3644770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DE"/>
          </a:p>
        </c:txPr>
        <c:crossAx val="357835904"/>
        <c:crosses val="autoZero"/>
        <c:crossBetween val="midCat"/>
        <c:majorUnit val="20"/>
        <c:minorUnit val="10"/>
      </c:valAx>
      <c:valAx>
        <c:axId val="364517248"/>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DE"/>
          </a:p>
        </c:txPr>
        <c:crossAx val="387647744"/>
        <c:crosses val="max"/>
        <c:crossBetween val="midCat"/>
        <c:majorUnit val="90"/>
        <c:minorUnit val="45"/>
      </c:valAx>
      <c:valAx>
        <c:axId val="387647744"/>
        <c:scaling>
          <c:logBase val="10"/>
          <c:orientation val="minMax"/>
        </c:scaling>
        <c:delete val="1"/>
        <c:axPos val="b"/>
        <c:numFmt formatCode="0.00" sourceLinked="1"/>
        <c:majorTickMark val="out"/>
        <c:minorTickMark val="none"/>
        <c:tickLblPos val="nextTo"/>
        <c:crossAx val="364517248"/>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72.340287115963193</c:v>
                </c:pt>
                <c:pt idx="1">
                  <c:v>72.127754034236006</c:v>
                </c:pt>
                <c:pt idx="2">
                  <c:v>71.914669313380443</c:v>
                </c:pt>
                <c:pt idx="3">
                  <c:v>71.701010462192187</c:v>
                </c:pt>
                <c:pt idx="4">
                  <c:v>71.486754232261688</c:v>
                </c:pt>
                <c:pt idx="5">
                  <c:v>71.271876606746062</c:v>
                </c:pt>
                <c:pt idx="6">
                  <c:v>71.056352790360535</c:v>
                </c:pt>
                <c:pt idx="7">
                  <c:v>70.84015720074261</c:v>
                </c:pt>
                <c:pt idx="8">
                  <c:v>70.62326346135022</c:v>
                </c:pt>
                <c:pt idx="9">
                  <c:v>70.40564439606166</c:v>
                </c:pt>
                <c:pt idx="10">
                  <c:v>70.187272025654636</c:v>
                </c:pt>
                <c:pt idx="11">
                  <c:v>69.968117566348326</c:v>
                </c:pt>
                <c:pt idx="12">
                  <c:v>69.748151430597702</c:v>
                </c:pt>
                <c:pt idx="13">
                  <c:v>69.527343230337365</c:v>
                </c:pt>
                <c:pt idx="14">
                  <c:v>69.305661782875234</c:v>
                </c:pt>
                <c:pt idx="15">
                  <c:v>69.08307511964064</c:v>
                </c:pt>
                <c:pt idx="16">
                  <c:v>68.859550497994363</c:v>
                </c:pt>
                <c:pt idx="17">
                  <c:v>68.635054416307653</c:v>
                </c:pt>
                <c:pt idx="18">
                  <c:v>68.409552632518668</c:v>
                </c:pt>
                <c:pt idx="19">
                  <c:v>68.18301018636943</c:v>
                </c:pt>
                <c:pt idx="20">
                  <c:v>67.955391425523203</c:v>
                </c:pt>
                <c:pt idx="21">
                  <c:v>67.726660035755074</c:v>
                </c:pt>
                <c:pt idx="22">
                  <c:v>67.496779075396901</c:v>
                </c:pt>
                <c:pt idx="23">
                  <c:v>67.26571101420781</c:v>
                </c:pt>
                <c:pt idx="24">
                  <c:v>67.033417776823427</c:v>
                </c:pt>
                <c:pt idx="25">
                  <c:v>66.799860790919951</c:v>
                </c:pt>
                <c:pt idx="26">
                  <c:v>66.565001040207193</c:v>
                </c:pt>
                <c:pt idx="27">
                  <c:v>66.328799122338125</c:v>
                </c:pt>
                <c:pt idx="28">
                  <c:v>66.09121531179602</c:v>
                </c:pt>
                <c:pt idx="29">
                  <c:v>65.852209627786095</c:v>
                </c:pt>
                <c:pt idx="30">
                  <c:v>65.611741907124525</c:v>
                </c:pt>
                <c:pt idx="31">
                  <c:v>65.369771882078552</c:v>
                </c:pt>
                <c:pt idx="32">
                  <c:v>65.126259263068874</c:v>
                </c:pt>
                <c:pt idx="33">
                  <c:v>64.881163826101982</c:v>
                </c:pt>
                <c:pt idx="34">
                  <c:v>64.634445504751625</c:v>
                </c:pt>
                <c:pt idx="35">
                  <c:v>64.386064486459929</c:v>
                </c:pt>
                <c:pt idx="36">
                  <c:v>64.13598131287641</c:v>
                </c:pt>
                <c:pt idx="37">
                  <c:v>63.884156983902109</c:v>
                </c:pt>
                <c:pt idx="38">
                  <c:v>63.630553065052041</c:v>
                </c:pt>
                <c:pt idx="39">
                  <c:v>63.375131797696241</c:v>
                </c:pt>
                <c:pt idx="40">
                  <c:v>63.117856211689244</c:v>
                </c:pt>
                <c:pt idx="41">
                  <c:v>62.858690239846176</c:v>
                </c:pt>
                <c:pt idx="42">
                  <c:v>62.597598833677253</c:v>
                </c:pt>
                <c:pt idx="43">
                  <c:v>62.334548079748338</c:v>
                </c:pt>
                <c:pt idx="44">
                  <c:v>62.069505315995471</c:v>
                </c:pt>
                <c:pt idx="45">
                  <c:v>61.802439247287843</c:v>
                </c:pt>
                <c:pt idx="46">
                  <c:v>61.533320059504774</c:v>
                </c:pt>
                <c:pt idx="47">
                  <c:v>61.262119531373294</c:v>
                </c:pt>
                <c:pt idx="48">
                  <c:v>60.988811143296928</c:v>
                </c:pt>
                <c:pt idx="49">
                  <c:v>60.7133701824051</c:v>
                </c:pt>
                <c:pt idx="50">
                  <c:v>60.435773843053902</c:v>
                </c:pt>
                <c:pt idx="51">
                  <c:v>60.156001322023911</c:v>
                </c:pt>
                <c:pt idx="52">
                  <c:v>59.874033907684691</c:v>
                </c:pt>
                <c:pt idx="53">
                  <c:v>59.589855062425556</c:v>
                </c:pt>
                <c:pt idx="54">
                  <c:v>59.303450497698705</c:v>
                </c:pt>
                <c:pt idx="55">
                  <c:v>59.014808241067264</c:v>
                </c:pt>
                <c:pt idx="56">
                  <c:v>58.723918694715486</c:v>
                </c:pt>
                <c:pt idx="57">
                  <c:v>58.430774684942442</c:v>
                </c:pt>
                <c:pt idx="58">
                  <c:v>58.135371502239167</c:v>
                </c:pt>
                <c:pt idx="59">
                  <c:v>57.837706931626862</c:v>
                </c:pt>
                <c:pt idx="60">
                  <c:v>57.537781273023839</c:v>
                </c:pt>
                <c:pt idx="61">
                  <c:v>57.235597351494398</c:v>
                </c:pt>
                <c:pt idx="62">
                  <c:v>56.931160517329928</c:v>
                </c:pt>
                <c:pt idx="63">
                  <c:v>56.624478635999857</c:v>
                </c:pt>
                <c:pt idx="64">
                  <c:v>56.315562068108164</c:v>
                </c:pt>
                <c:pt idx="65">
                  <c:v>56.00442363957805</c:v>
                </c:pt>
                <c:pt idx="66">
                  <c:v>55.691078602376152</c:v>
                </c:pt>
                <c:pt idx="67">
                  <c:v>55.375544586168701</c:v>
                </c:pt>
                <c:pt idx="68">
                  <c:v>55.057841541383112</c:v>
                </c:pt>
                <c:pt idx="69">
                  <c:v>54.737991674211806</c:v>
                </c:pt>
                <c:pt idx="70">
                  <c:v>54.416019374164165</c:v>
                </c:pt>
                <c:pt idx="71">
                  <c:v>54.091951134820569</c:v>
                </c:pt>
                <c:pt idx="72">
                  <c:v>53.765815468492463</c:v>
                </c:pt>
                <c:pt idx="73">
                  <c:v>53.43764281552118</c:v>
                </c:pt>
                <c:pt idx="74">
                  <c:v>53.107465448982182</c:v>
                </c:pt>
                <c:pt idx="75">
                  <c:v>52.775317375567887</c:v>
                </c:pt>
                <c:pt idx="76">
                  <c:v>52.441234233438259</c:v>
                </c:pt>
                <c:pt idx="77">
                  <c:v>52.105253187818477</c:v>
                </c:pt>
                <c:pt idx="78">
                  <c:v>51.767412825117489</c:v>
                </c:pt>
                <c:pt idx="79">
                  <c:v>51.427753046317086</c:v>
                </c:pt>
                <c:pt idx="80">
                  <c:v>51.086314960361101</c:v>
                </c:pt>
                <c:pt idx="81">
                  <c:v>50.743140778235791</c:v>
                </c:pt>
                <c:pt idx="82">
                  <c:v>50.398273708396189</c:v>
                </c:pt>
                <c:pt idx="83">
                  <c:v>50.051757854154097</c:v>
                </c:pt>
                <c:pt idx="84">
                  <c:v>49.703638113588518</c:v>
                </c:pt>
                <c:pt idx="85">
                  <c:v>49.353960082497466</c:v>
                </c:pt>
                <c:pt idx="86">
                  <c:v>49.002769960853058</c:v>
                </c:pt>
                <c:pt idx="87">
                  <c:v>48.650114463171349</c:v>
                </c:pt>
                <c:pt idx="88">
                  <c:v>48.296040733154015</c:v>
                </c:pt>
                <c:pt idx="89">
                  <c:v>47.940596262904776</c:v>
                </c:pt>
                <c:pt idx="90">
                  <c:v>47.583828816973785</c:v>
                </c:pt>
                <c:pt idx="91">
                  <c:v>47.225786361429705</c:v>
                </c:pt>
                <c:pt idx="92">
                  <c:v>46.866516998111166</c:v>
                </c:pt>
                <c:pt idx="93">
                  <c:v>46.506068904163989</c:v>
                </c:pt>
                <c:pt idx="94">
                  <c:v>46.144490276924188</c:v>
                </c:pt>
                <c:pt idx="95">
                  <c:v>45.781829284169895</c:v>
                </c:pt>
                <c:pt idx="96">
                  <c:v>45.418134019722018</c:v>
                </c:pt>
                <c:pt idx="97">
                  <c:v>45.053452464344865</c:v>
                </c:pt>
                <c:pt idx="98">
                  <c:v>44.687832451861766</c:v>
                </c:pt>
                <c:pt idx="99">
                  <c:v>44.321321640376055</c:v>
                </c:pt>
                <c:pt idx="100">
                  <c:v>43.953967488460748</c:v>
                </c:pt>
                <c:pt idx="101">
                  <c:v>43.585817236159663</c:v>
                </c:pt>
                <c:pt idx="102">
                  <c:v>43.216917890622746</c:v>
                </c:pt>
                <c:pt idx="103">
                  <c:v>42.847316216184048</c:v>
                </c:pt>
                <c:pt idx="104">
                  <c:v>42.477058728674351</c:v>
                </c:pt>
                <c:pt idx="105">
                  <c:v>42.106191693752564</c:v>
                </c:pt>
                <c:pt idx="106">
                  <c:v>41.734761129027603</c:v>
                </c:pt>
                <c:pt idx="107">
                  <c:v>41.3628128097385</c:v>
                </c:pt>
                <c:pt idx="108">
                  <c:v>40.990392277752122</c:v>
                </c:pt>
                <c:pt idx="109">
                  <c:v>40.617544853635366</c:v>
                </c:pt>
                <c:pt idx="110">
                  <c:v>40.244315651555894</c:v>
                </c:pt>
                <c:pt idx="111">
                  <c:v>39.870749596763972</c:v>
                </c:pt>
                <c:pt idx="112">
                  <c:v>39.496891445404465</c:v>
                </c:pt>
                <c:pt idx="113">
                  <c:v>39.122785806412281</c:v>
                </c:pt>
                <c:pt idx="114">
                  <c:v>38.748477165240999</c:v>
                </c:pt>
                <c:pt idx="115">
                  <c:v>38.374009909176351</c:v>
                </c:pt>
                <c:pt idx="116">
                  <c:v>37.999428353986964</c:v>
                </c:pt>
                <c:pt idx="117">
                  <c:v>37.624776771666077</c:v>
                </c:pt>
                <c:pt idx="118">
                  <c:v>37.250099419017694</c:v>
                </c:pt>
                <c:pt idx="119">
                  <c:v>36.875440566841881</c:v>
                </c:pt>
                <c:pt idx="120">
                  <c:v>36.500844529475671</c:v>
                </c:pt>
                <c:pt idx="121">
                  <c:v>36.126355694442914</c:v>
                </c:pt>
                <c:pt idx="122">
                  <c:v>35.752018551972398</c:v>
                </c:pt>
                <c:pt idx="123">
                  <c:v>35.377877724136646</c:v>
                </c:pt>
                <c:pt idx="124">
                  <c:v>35.003977993369162</c:v>
                </c:pt>
                <c:pt idx="125">
                  <c:v>34.630364330115015</c:v>
                </c:pt>
                <c:pt idx="126">
                  <c:v>34.257081919367877</c:v>
                </c:pt>
                <c:pt idx="127">
                  <c:v>33.884176185850329</c:v>
                </c:pt>
                <c:pt idx="128">
                  <c:v>33.511692817588653</c:v>
                </c:pt>
                <c:pt idx="129">
                  <c:v>33.139677787636188</c:v>
                </c:pt>
                <c:pt idx="130">
                  <c:v>32.76817737369921</c:v>
                </c:pt>
                <c:pt idx="131">
                  <c:v>32.397238175418494</c:v>
                </c:pt>
                <c:pt idx="132">
                  <c:v>32.026907129061485</c:v>
                </c:pt>
                <c:pt idx="133">
                  <c:v>31.657231519382304</c:v>
                </c:pt>
                <c:pt idx="134">
                  <c:v>31.288258988408725</c:v>
                </c:pt>
                <c:pt idx="135">
                  <c:v>30.920037540920788</c:v>
                </c:pt>
                <c:pt idx="136">
                  <c:v>30.552615546389493</c:v>
                </c:pt>
                <c:pt idx="137">
                  <c:v>30.186041737152646</c:v>
                </c:pt>
                <c:pt idx="138">
                  <c:v>29.820365202614454</c:v>
                </c:pt>
                <c:pt idx="139">
                  <c:v>29.455635379263185</c:v>
                </c:pt>
                <c:pt idx="140">
                  <c:v>29.091902036320345</c:v>
                </c:pt>
                <c:pt idx="141">
                  <c:v>28.729215256844487</c:v>
                </c:pt>
                <c:pt idx="142">
                  <c:v>28.367625414137546</c:v>
                </c:pt>
                <c:pt idx="143">
                  <c:v>28.007183143318095</c:v>
                </c:pt>
                <c:pt idx="144">
                  <c:v>27.647939307953614</c:v>
                </c:pt>
                <c:pt idx="145">
                  <c:v>27.289944961670912</c:v>
                </c:pt>
                <c:pt idx="146">
                  <c:v>26.933251304694185</c:v>
                </c:pt>
                <c:pt idx="147">
                  <c:v>26.577909635295175</c:v>
                </c:pt>
                <c:pt idx="148">
                  <c:v>26.223971296176977</c:v>
                </c:pt>
                <c:pt idx="149">
                  <c:v>25.871487615853678</c:v>
                </c:pt>
                <c:pt idx="150">
                  <c:v>25.520509845131048</c:v>
                </c:pt>
                <c:pt idx="151">
                  <c:v>25.171089088840862</c:v>
                </c:pt>
                <c:pt idx="152">
                  <c:v>24.823276233028345</c:v>
                </c:pt>
                <c:pt idx="153">
                  <c:v>24.477121867843845</c:v>
                </c:pt>
                <c:pt idx="154">
                  <c:v>24.132676206442344</c:v>
                </c:pt>
                <c:pt idx="155">
                  <c:v>23.789989000245274</c:v>
                </c:pt>
                <c:pt idx="156">
                  <c:v>23.449109450976742</c:v>
                </c:pt>
                <c:pt idx="157">
                  <c:v>23.110086119932287</c:v>
                </c:pt>
                <c:pt idx="158">
                  <c:v>22.772966834999178</c:v>
                </c:pt>
                <c:pt idx="159">
                  <c:v>22.437798595988475</c:v>
                </c:pt>
                <c:pt idx="160">
                  <c:v>22.104627478891143</c:v>
                </c:pt>
                <c:pt idx="161">
                  <c:v>21.773498539712641</c:v>
                </c:pt>
                <c:pt idx="162">
                  <c:v>21.444455718578599</c:v>
                </c:pt>
                <c:pt idx="163">
                  <c:v>21.117541744835528</c:v>
                </c:pt>
                <c:pt idx="164">
                  <c:v>20.792798043900834</c:v>
                </c:pt>
                <c:pt idx="165">
                  <c:v>20.470264646632529</c:v>
                </c:pt>
                <c:pt idx="166">
                  <c:v>20.149980102000026</c:v>
                </c:pt>
                <c:pt idx="167">
                  <c:v>19.831981393842447</c:v>
                </c:pt>
                <c:pt idx="168">
                  <c:v>19.516303862492919</c:v>
                </c:pt>
                <c:pt idx="169">
                  <c:v>19.202981132029755</c:v>
                </c:pt>
                <c:pt idx="170">
                  <c:v>18.892045043892981</c:v>
                </c:pt>
                <c:pt idx="171">
                  <c:v>18.583525597565515</c:v>
                </c:pt>
                <c:pt idx="172">
                  <c:v>18.277450898976145</c:v>
                </c:pt>
                <c:pt idx="173">
                  <c:v>17.973847117222821</c:v>
                </c:pt>
                <c:pt idx="174">
                  <c:v>17.672738450157357</c:v>
                </c:pt>
                <c:pt idx="175">
                  <c:v>17.374147099293417</c:v>
                </c:pt>
                <c:pt idx="176">
                  <c:v>17.078093254428296</c:v>
                </c:pt>
                <c:pt idx="177">
                  <c:v>16.784595088278383</c:v>
                </c:pt>
                <c:pt idx="178">
                  <c:v>16.493668761341237</c:v>
                </c:pt>
                <c:pt idx="179">
                  <c:v>16.205328437101283</c:v>
                </c:pt>
                <c:pt idx="180">
                  <c:v>15.919586307601563</c:v>
                </c:pt>
                <c:pt idx="181">
                  <c:v>15.636452629304483</c:v>
                </c:pt>
                <c:pt idx="182">
                  <c:v>15.355935769069035</c:v>
                </c:pt>
                <c:pt idx="183">
                  <c:v>15.078042259975767</c:v>
                </c:pt>
                <c:pt idx="184">
                  <c:v>14.802776866638458</c:v>
                </c:pt>
                <c:pt idx="185">
                  <c:v>14.530142659553832</c:v>
                </c:pt>
                <c:pt idx="186">
                  <c:v>14.260141097959174</c:v>
                </c:pt>
                <c:pt idx="187">
                  <c:v>13.992772120589827</c:v>
                </c:pt>
                <c:pt idx="188">
                  <c:v>13.728034243664071</c:v>
                </c:pt>
                <c:pt idx="189">
                  <c:v>13.465924665358033</c:v>
                </c:pt>
                <c:pt idx="190">
                  <c:v>13.206439375988555</c:v>
                </c:pt>
                <c:pt idx="191">
                  <c:v>12.949573273073922</c:v>
                </c:pt>
                <c:pt idx="192">
                  <c:v>12.695320280413153</c:v>
                </c:pt>
                <c:pt idx="193">
                  <c:v>12.44367347030169</c:v>
                </c:pt>
                <c:pt idx="194">
                  <c:v>12.194625187985364</c:v>
                </c:pt>
                <c:pt idx="195">
                  <c:v>11.94816717745104</c:v>
                </c:pt>
                <c:pt idx="196">
                  <c:v>11.70429070765455</c:v>
                </c:pt>
                <c:pt idx="197">
                  <c:v>11.462986698300019</c:v>
                </c:pt>
                <c:pt idx="198">
                  <c:v>11.224245844299567</c:v>
                </c:pt>
                <c:pt idx="199">
                  <c:v>10.988058738071798</c:v>
                </c:pt>
                <c:pt idx="200">
                  <c:v>10.754415988865365</c:v>
                </c:pt>
                <c:pt idx="201">
                  <c:v>10.523308338331478</c:v>
                </c:pt>
                <c:pt idx="202">
                  <c:v>10.294726771608643</c:v>
                </c:pt>
                <c:pt idx="203">
                  <c:v>10.068662623228139</c:v>
                </c:pt>
                <c:pt idx="204">
                  <c:v>9.8451076771937345</c:v>
                </c:pt>
                <c:pt idx="205">
                  <c:v>9.6240542606391202</c:v>
                </c:pt>
                <c:pt idx="206">
                  <c:v>9.4054953305172599</c:v>
                </c:pt>
                <c:pt idx="207">
                  <c:v>9.1894245528259173</c:v>
                </c:pt>
                <c:pt idx="208">
                  <c:v>8.9758363739273026</c:v>
                </c:pt>
                <c:pt idx="209">
                  <c:v>8.7647260835713219</c:v>
                </c:pt>
                <c:pt idx="210">
                  <c:v>8.5560898692840723</c:v>
                </c:pt>
                <c:pt idx="211">
                  <c:v>8.3499248618368966</c:v>
                </c:pt>
                <c:pt idx="212">
                  <c:v>8.1462291715606199</c:v>
                </c:pt>
                <c:pt idx="213">
                  <c:v>7.9450019153239184</c:v>
                </c:pt>
                <c:pt idx="214">
                  <c:v>7.7462432340437823</c:v>
                </c:pt>
                <c:pt idx="215">
                  <c:v>7.5499543006479994</c:v>
                </c:pt>
                <c:pt idx="216">
                  <c:v>7.356137318460628</c:v>
                </c:pt>
                <c:pt idx="217">
                  <c:v>7.1647955100296565</c:v>
                </c:pt>
                <c:pt idx="218">
                  <c:v>6.9759330964712767</c:v>
                </c:pt>
                <c:pt idx="219">
                  <c:v>6.7895552674499493</c:v>
                </c:pt>
                <c:pt idx="220">
                  <c:v>6.6056681419708942</c:v>
                </c:pt>
                <c:pt idx="221">
                  <c:v>6.4242787202079228</c:v>
                </c:pt>
                <c:pt idx="222">
                  <c:v>6.245394826644076</c:v>
                </c:pt>
                <c:pt idx="223">
                  <c:v>6.0690250448548539</c:v>
                </c:pt>
                <c:pt idx="224">
                  <c:v>5.8951786443137344</c:v>
                </c:pt>
                <c:pt idx="225">
                  <c:v>5.7238654996559095</c:v>
                </c:pt>
                <c:pt idx="226">
                  <c:v>5.5550960028848353</c:v>
                </c:pt>
                <c:pt idx="227">
                  <c:v>5.388880969060871</c:v>
                </c:pt>
                <c:pt idx="228">
                  <c:v>5.2252315360597956</c:v>
                </c:pt>
                <c:pt idx="229">
                  <c:v>5.0641590590414554</c:v>
                </c:pt>
                <c:pt idx="230">
                  <c:v>4.9056750003131349</c:v>
                </c:pt>
                <c:pt idx="231">
                  <c:v>4.7497908153195318</c:v>
                </c:pt>
                <c:pt idx="232">
                  <c:v>4.5965178355318006</c:v>
                </c:pt>
                <c:pt idx="233">
                  <c:v>4.445867149047146</c:v>
                </c:pt>
                <c:pt idx="234">
                  <c:v>4.2978494797398898</c:v>
                </c:pt>
                <c:pt idx="235">
                  <c:v>4.1524750658371259</c:v>
                </c:pt>
                <c:pt idx="236">
                  <c:v>4.0097535388086145</c:v>
                </c:pt>
                <c:pt idx="237">
                  <c:v>3.8696938034766108</c:v>
                </c:pt>
                <c:pt idx="238">
                  <c:v>3.7323039202574941</c:v>
                </c:pt>
                <c:pt idx="239">
                  <c:v>3.5975909904432326</c:v>
                </c:pt>
                <c:pt idx="240">
                  <c:v>3.4655610454223118</c:v>
                </c:pt>
                <c:pt idx="241">
                  <c:v>3.3362189407171545</c:v>
                </c:pt>
                <c:pt idx="242">
                  <c:v>3.2095682556873055</c:v>
                </c:pt>
                <c:pt idx="243">
                  <c:v>3.0856111997085067</c:v>
                </c:pt>
                <c:pt idx="244">
                  <c:v>2.9643485255889805</c:v>
                </c:pt>
                <c:pt idx="245">
                  <c:v>2.8457794509290144</c:v>
                </c:pt>
                <c:pt idx="246">
                  <c:v>2.7299015880625079</c:v>
                </c:pt>
                <c:pt idx="247">
                  <c:v>2.6167108831479209</c:v>
                </c:pt>
                <c:pt idx="248">
                  <c:v>2.5062015648943166</c:v>
                </c:pt>
                <c:pt idx="249">
                  <c:v>2.3983661033239252</c:v>
                </c:pt>
                <c:pt idx="250">
                  <c:v>2.2931951788809428</c:v>
                </c:pt>
                <c:pt idx="251">
                  <c:v>2.1906776621009687</c:v>
                </c:pt>
                <c:pt idx="252">
                  <c:v>2.0908006039623812</c:v>
                </c:pt>
                <c:pt idx="253">
                  <c:v>1.9935492369392327</c:v>
                </c:pt>
                <c:pt idx="254">
                  <c:v>1.8989069866823867</c:v>
                </c:pt>
                <c:pt idx="255">
                  <c:v>1.8068554941585189</c:v>
                </c:pt>
                <c:pt idx="256">
                  <c:v>1.7173746479868313</c:v>
                </c:pt>
                <c:pt idx="257">
                  <c:v>1.6304426266257455</c:v>
                </c:pt>
                <c:pt idx="258">
                  <c:v>1.5460359499824876</c:v>
                </c:pt>
                <c:pt idx="259">
                  <c:v>1.4641295399418641</c:v>
                </c:pt>
                <c:pt idx="260">
                  <c:v>1.3846967892492095</c:v>
                </c:pt>
                <c:pt idx="261">
                  <c:v>1.3077096381202939</c:v>
                </c:pt>
                <c:pt idx="262">
                  <c:v>1.2331386579064361</c:v>
                </c:pt>
                <c:pt idx="263">
                  <c:v>1.1609531411027254</c:v>
                </c:pt>
                <c:pt idx="264">
                  <c:v>1.09112119695733</c:v>
                </c:pt>
                <c:pt idx="265">
                  <c:v>1.0236098519248324</c:v>
                </c:pt>
                <c:pt idx="266">
                  <c:v>0.95838515419057013</c:v>
                </c:pt>
                <c:pt idx="267">
                  <c:v>0.89541228149893526</c:v>
                </c:pt>
                <c:pt idx="268">
                  <c:v>0.83465565152226129</c:v>
                </c:pt>
                <c:pt idx="269">
                  <c:v>0.77607903402418033</c:v>
                </c:pt>
                <c:pt idx="270">
                  <c:v>0.71964566409752173</c:v>
                </c:pt>
                <c:pt idx="271">
                  <c:v>0.66531835578509502</c:v>
                </c:pt>
                <c:pt idx="272">
                  <c:v>0.61305961542632259</c:v>
                </c:pt>
                <c:pt idx="273">
                  <c:v>0.56283175411699349</c:v>
                </c:pt>
                <c:pt idx="274">
                  <c:v>0.51459699871241837</c:v>
                </c:pt>
                <c:pt idx="275">
                  <c:v>0.46831760085037788</c:v>
                </c:pt>
                <c:pt idx="276">
                  <c:v>0.42395594352355104</c:v>
                </c:pt>
                <c:pt idx="277">
                  <c:v>0.38147464477883886</c:v>
                </c:pt>
                <c:pt idx="278">
                  <c:v>0.34083665817434999</c:v>
                </c:pt>
                <c:pt idx="279">
                  <c:v>0.30200536967380265</c:v>
                </c:pt>
                <c:pt idx="280">
                  <c:v>0.26494469071180021</c:v>
                </c:pt>
                <c:pt idx="281">
                  <c:v>0.22961914720660867</c:v>
                </c:pt>
                <c:pt idx="282">
                  <c:v>0.19599396434699584</c:v>
                </c:pt>
                <c:pt idx="283">
                  <c:v>0.16403514702274169</c:v>
                </c:pt>
                <c:pt idx="284">
                  <c:v>0.13370955580666688</c:v>
                </c:pt>
                <c:pt idx="285">
                  <c:v>0.10498497843685972</c:v>
                </c:pt>
                <c:pt idx="286">
                  <c:v>7.7830196777039395E-2</c:v>
                </c:pt>
                <c:pt idx="287">
                  <c:v>5.2215049269057415E-2</c:v>
                </c:pt>
                <c:pt idx="288">
                  <c:v>2.8110488911147632E-2</c:v>
                </c:pt>
                <c:pt idx="289">
                  <c:v>5.4886368256642278E-3</c:v>
                </c:pt>
                <c:pt idx="290">
                  <c:v>-1.5677168507694971E-2</c:v>
                </c:pt>
                <c:pt idx="291">
                  <c:v>-3.5412326257004301E-2</c:v>
                </c:pt>
                <c:pt idx="292">
                  <c:v>-5.3740932375180281E-2</c:v>
                </c:pt>
                <c:pt idx="293">
                  <c:v>-7.06857427530906E-2</c:v>
                </c:pt>
                <c:pt idx="294">
                  <c:v>-8.6268140269185001E-2</c:v>
                </c:pt>
                <c:pt idx="295">
                  <c:v>-0.10050810561164476</c:v>
                </c:pt>
                <c:pt idx="296">
                  <c:v>-0.11342419174952667</c:v>
                </c:pt>
                <c:pt idx="297">
                  <c:v>-0.12503350193340065</c:v>
                </c:pt>
                <c:pt idx="298">
                  <c:v>-0.13535167111076327</c:v>
                </c:pt>
                <c:pt idx="299">
                  <c:v>-0.14439285064761465</c:v>
                </c:pt>
                <c:pt idx="300">
                  <c:v>-0.15216969625882368</c:v>
                </c:pt>
                <c:pt idx="301">
                  <c:v>-0.15869335905952339</c:v>
                </c:pt>
                <c:pt idx="302">
                  <c:v>-0.16397347966188591</c:v>
                </c:pt>
                <c:pt idx="303">
                  <c:v>-0.16801818525682</c:v>
                </c:pt>
                <c:pt idx="304">
                  <c:v>-0.17083408963221408</c:v>
                </c:pt>
                <c:pt idx="305">
                  <c:v>-0.17242629609785393</c:v>
                </c:pt>
                <c:pt idx="306">
                  <c:v>-0.17279840329953949</c:v>
                </c:pt>
                <c:pt idx="307">
                  <c:v>-0.171952513924751</c:v>
                </c:pt>
                <c:pt idx="308">
                  <c:v>-0.16988924631591046</c:v>
                </c:pt>
                <c:pt idx="309">
                  <c:v>-0.1666077490250592</c:v>
                </c:pt>
                <c:pt idx="310">
                  <c:v>-0.16210571835959739</c:v>
                </c:pt>
                <c:pt idx="311">
                  <c:v>-0.15637941898509369</c:v>
                </c:pt>
                <c:pt idx="312">
                  <c:v>-0.14942370766357901</c:v>
                </c:pt>
                <c:pt idx="313">
                  <c:v>-0.14123206022447116</c:v>
                </c:pt>
                <c:pt idx="314">
                  <c:v>-0.13179660187287273</c:v>
                </c:pt>
                <c:pt idx="315">
                  <c:v>-0.12110814095529215</c:v>
                </c:pt>
                <c:pt idx="316">
                  <c:v>-0.10915620631126889</c:v>
                </c:pt>
                <c:pt idx="317">
                  <c:v>-9.5929088348796612E-2</c:v>
                </c:pt>
                <c:pt idx="318">
                  <c:v>-8.1413883984507593E-2</c:v>
                </c:pt>
                <c:pt idx="319">
                  <c:v>-6.5596545599145226E-2</c:v>
                </c:pt>
                <c:pt idx="320">
                  <c:v>-4.8461934152669597E-2</c:v>
                </c:pt>
                <c:pt idx="321">
                  <c:v>-2.9993876609351489E-2</c:v>
                </c:pt>
                <c:pt idx="322">
                  <c:v>-1.0175227814095668E-2</c:v>
                </c:pt>
                <c:pt idx="323">
                  <c:v>1.1012063044586481E-2</c:v>
                </c:pt>
                <c:pt idx="324">
                  <c:v>3.3586881260300488E-2</c:v>
                </c:pt>
                <c:pt idx="325">
                  <c:v>5.756887061255235E-2</c:v>
                </c:pt>
                <c:pt idx="326">
                  <c:v>8.2978352456016105E-2</c:v>
                </c:pt>
                <c:pt idx="327">
                  <c:v>0.10983623982621241</c:v>
                </c:pt>
                <c:pt idx="328">
                  <c:v>0.13816394651285185</c:v>
                </c:pt>
                <c:pt idx="329">
                  <c:v>0.16798329108913396</c:v>
                </c:pt>
                <c:pt idx="330">
                  <c:v>0.1993163959088724</c:v>
                </c:pt>
                <c:pt idx="331">
                  <c:v>0.23218558112973653</c:v>
                </c:pt>
                <c:pt idx="332">
                  <c:v>0.26661325385283002</c:v>
                </c:pt>
                <c:pt idx="333">
                  <c:v>0.30262179251782823</c:v>
                </c:pt>
                <c:pt idx="334">
                  <c:v>0.34023342673681017</c:v>
                </c:pt>
                <c:pt idx="335">
                  <c:v>0.37947011279914794</c:v>
                </c:pt>
                <c:pt idx="336">
                  <c:v>0.42035340513197661</c:v>
                </c:pt>
                <c:pt idx="337">
                  <c:v>0.46290432405292464</c:v>
                </c:pt>
                <c:pt idx="338">
                  <c:v>0.50714322020467728</c:v>
                </c:pt>
                <c:pt idx="339">
                  <c:v>0.55308963611678874</c:v>
                </c:pt>
                <c:pt idx="340">
                  <c:v>0.60076216539093363</c:v>
                </c:pt>
                <c:pt idx="341">
                  <c:v>0.65017831006111093</c:v>
                </c:pt>
                <c:pt idx="342">
                  <c:v>0.70135433672670955</c:v>
                </c:pt>
                <c:pt idx="343">
                  <c:v>0.7543051321059292</c:v>
                </c:pt>
                <c:pt idx="344">
                  <c:v>0.80904405869782547</c:v>
                </c:pt>
                <c:pt idx="345">
                  <c:v>0.8655828112809012</c:v>
                </c:pt>
                <c:pt idx="346">
                  <c:v>0.92393127500604855</c:v>
                </c:pt>
                <c:pt idx="347">
                  <c:v>0.98409738586942963</c:v>
                </c:pt>
                <c:pt idx="348">
                  <c:v>1.0460869943677213</c:v>
                </c:pt>
                <c:pt idx="349">
                  <c:v>1.1099037331479691</c:v>
                </c:pt>
                <c:pt idx="350">
                  <c:v>1.1755488894676434</c:v>
                </c:pt>
                <c:pt idx="351">
                  <c:v>1.243021283270743</c:v>
                </c:pt>
                <c:pt idx="352">
                  <c:v>1.3123171516719581</c:v>
                </c:pt>
                <c:pt idx="353">
                  <c:v>1.3834300406130728</c:v>
                </c:pt>
                <c:pt idx="354">
                  <c:v>1.4563507044224908</c:v>
                </c:pt>
                <c:pt idx="355">
                  <c:v>1.5310670139621929</c:v>
                </c:pt>
                <c:pt idx="356">
                  <c:v>1.6075638740001335</c:v>
                </c:pt>
                <c:pt idx="357">
                  <c:v>1.6858231503774208</c:v>
                </c:pt>
                <c:pt idx="358">
                  <c:v>1.7658236074819444</c:v>
                </c:pt>
                <c:pt idx="359">
                  <c:v>1.8475408564592355</c:v>
                </c:pt>
                <c:pt idx="360">
                  <c:v>1.930947314519573</c:v>
                </c:pt>
                <c:pt idx="361">
                  <c:v>2.0160121756132905</c:v>
                </c:pt>
                <c:pt idx="362">
                  <c:v>2.1027013926684393</c:v>
                </c:pt>
                <c:pt idx="363">
                  <c:v>2.1909776714911038</c:v>
                </c:pt>
                <c:pt idx="364">
                  <c:v>2.2808004763540204</c:v>
                </c:pt>
                <c:pt idx="365">
                  <c:v>2.3721260472048287</c:v>
                </c:pt>
                <c:pt idx="366">
                  <c:v>2.4649074283540449</c:v>
                </c:pt>
                <c:pt idx="367">
                  <c:v>2.5590945084171008</c:v>
                </c:pt>
                <c:pt idx="368">
                  <c:v>2.6546340712197973</c:v>
                </c:pt>
                <c:pt idx="369">
                  <c:v>2.7514698573056067</c:v>
                </c:pt>
                <c:pt idx="370">
                  <c:v>2.8495426356250482</c:v>
                </c:pt>
                <c:pt idx="371">
                  <c:v>2.9487902849356251</c:v>
                </c:pt>
                <c:pt idx="372">
                  <c:v>3.049147884393633</c:v>
                </c:pt>
                <c:pt idx="373">
                  <c:v>3.1505478127820878</c:v>
                </c:pt>
                <c:pt idx="374">
                  <c:v>3.2529198557909353</c:v>
                </c:pt>
                <c:pt idx="375">
                  <c:v>3.3561913207404555</c:v>
                </c:pt>
                <c:pt idx="376">
                  <c:v>3.4602871581250416</c:v>
                </c:pt>
                <c:pt idx="377">
                  <c:v>3.5651300893437892</c:v>
                </c:pt>
                <c:pt idx="378">
                  <c:v>3.6706407399827805</c:v>
                </c:pt>
                <c:pt idx="379">
                  <c:v>3.7767377780140876</c:v>
                </c:pt>
                <c:pt idx="380">
                  <c:v>3.8833380562836135</c:v>
                </c:pt>
                <c:pt idx="381">
                  <c:v>3.99035675866602</c:v>
                </c:pt>
                <c:pt idx="382">
                  <c:v>4.0977075492788861</c:v>
                </c:pt>
                <c:pt idx="383">
                  <c:v>4.2053027241599086</c:v>
                </c:pt>
                <c:pt idx="384">
                  <c:v>4.3130533648207816</c:v>
                </c:pt>
                <c:pt idx="385">
                  <c:v>4.4208694931072197</c:v>
                </c:pt>
                <c:pt idx="386">
                  <c:v>4.5286602267996336</c:v>
                </c:pt>
                <c:pt idx="387">
                  <c:v>4.6363339354039015</c:v>
                </c:pt>
                <c:pt idx="388">
                  <c:v>4.7437983955810106</c:v>
                </c:pt>
                <c:pt idx="389">
                  <c:v>4.8509609456695699</c:v>
                </c:pt>
                <c:pt idx="390">
                  <c:v>4.9577286387536477</c:v>
                </c:pt>
                <c:pt idx="391">
                  <c:v>5.0640083937251879</c:v>
                </c:pt>
                <c:pt idx="392">
                  <c:v>5.1697071437780302</c:v>
                </c:pt>
                <c:pt idx="393">
                  <c:v>5.2747319817639813</c:v>
                </c:pt>
                <c:pt idx="394">
                  <c:v>5.3789903018239249</c:v>
                </c:pt>
                <c:pt idx="395">
                  <c:v>5.4823899366923046</c:v>
                </c:pt>
                <c:pt idx="396">
                  <c:v>5.5848392900512209</c:v>
                </c:pt>
                <c:pt idx="397">
                  <c:v>5.6862474632967128</c:v>
                </c:pt>
                <c:pt idx="398">
                  <c:v>5.7865243760545857</c:v>
                </c:pt>
                <c:pt idx="399">
                  <c:v>5.8855808797685247</c:v>
                </c:pt>
                <c:pt idx="400">
                  <c:v>5.9833288636648216</c:v>
                </c:pt>
                <c:pt idx="401">
                  <c:v>6.079681352385685</c:v>
                </c:pt>
                <c:pt idx="402">
                  <c:v>6.1745525945719102</c:v>
                </c:pt>
                <c:pt idx="403">
                  <c:v>6.2678581416746155</c:v>
                </c:pt>
                <c:pt idx="404">
                  <c:v>6.3595149162738007</c:v>
                </c:pt>
                <c:pt idx="405">
                  <c:v>6.449441269194768</c:v>
                </c:pt>
                <c:pt idx="406">
                  <c:v>6.5375570247274979</c:v>
                </c:pt>
                <c:pt idx="407">
                  <c:v>6.6237835132813299</c:v>
                </c:pt>
                <c:pt idx="408">
                  <c:v>6.7080435908430687</c:v>
                </c:pt>
                <c:pt idx="409">
                  <c:v>6.7902616446499362</c:v>
                </c:pt>
                <c:pt idx="410">
                  <c:v>6.8703635845472277</c:v>
                </c:pt>
                <c:pt idx="411">
                  <c:v>6.9482768195613023</c:v>
                </c:pt>
                <c:pt idx="412">
                  <c:v>7.0239302192993414</c:v>
                </c:pt>
                <c:pt idx="413">
                  <c:v>7.0972540598700826</c:v>
                </c:pt>
                <c:pt idx="414">
                  <c:v>7.168179954115999</c:v>
                </c:pt>
                <c:pt idx="415">
                  <c:v>7.2366407660550278</c:v>
                </c:pt>
                <c:pt idx="416">
                  <c:v>7.3025705095412841</c:v>
                </c:pt>
                <c:pt idx="417">
                  <c:v>7.3659042312810996</c:v>
                </c:pt>
                <c:pt idx="418">
                  <c:v>7.4265778784690131</c:v>
                </c:pt>
                <c:pt idx="419">
                  <c:v>7.4845281514497755</c:v>
                </c:pt>
                <c:pt idx="420">
                  <c:v>7.5396923419587853</c:v>
                </c:pt>
                <c:pt idx="421">
                  <c:v>7.5920081576440204</c:v>
                </c:pt>
                <c:pt idx="422">
                  <c:v>7.6414135337352569</c:v>
                </c:pt>
                <c:pt idx="423">
                  <c:v>7.6878464328914475</c:v>
                </c:pt>
                <c:pt idx="424">
                  <c:v>7.7312446344248205</c:v>
                </c:pt>
                <c:pt idx="425">
                  <c:v>7.7715455142847301</c:v>
                </c:pt>
                <c:pt idx="426">
                  <c:v>7.8086858173607396</c:v>
                </c:pt>
                <c:pt idx="427">
                  <c:v>7.8426014238558031</c:v>
                </c:pt>
                <c:pt idx="428">
                  <c:v>7.8732271116764139</c:v>
                </c:pt>
                <c:pt idx="429">
                  <c:v>7.9004963169819922</c:v>
                </c:pt>
                <c:pt idx="430">
                  <c:v>7.9243408952423771</c:v>
                </c:pt>
                <c:pt idx="431">
                  <c:v>7.9446908853614424</c:v>
                </c:pt>
                <c:pt idx="432">
                  <c:v>7.9614742796325437</c:v>
                </c:pt>
                <c:pt idx="433">
                  <c:v>7.9746168025091793</c:v>
                </c:pt>
                <c:pt idx="434">
                  <c:v>7.9840417013798524</c:v>
                </c:pt>
                <c:pt idx="435">
                  <c:v>7.9896695527485218</c:v>
                </c:pt>
                <c:pt idx="436">
                  <c:v>7.9914180874190137</c:v>
                </c:pt>
                <c:pt idx="437">
                  <c:v>7.989202038466904</c:v>
                </c:pt>
                <c:pt idx="438">
                  <c:v>7.9829330159497704</c:v>
                </c:pt>
                <c:pt idx="439">
                  <c:v>7.972519412446565</c:v>
                </c:pt>
                <c:pt idx="440">
                  <c:v>7.9578663436162511</c:v>
                </c:pt>
                <c:pt idx="441">
                  <c:v>7.9388756280276613</c:v>
                </c:pt>
                <c:pt idx="442">
                  <c:v>7.9154458105065082</c:v>
                </c:pt>
                <c:pt idx="443">
                  <c:v>7.8874722331786939</c:v>
                </c:pt>
                <c:pt idx="444">
                  <c:v>7.8548471582337172</c:v>
                </c:pt>
                <c:pt idx="445">
                  <c:v>7.8174599461825691</c:v>
                </c:pt>
                <c:pt idx="446">
                  <c:v>7.7751972930246751</c:v>
                </c:pt>
                <c:pt idx="447">
                  <c:v>7.7279435292604823</c:v>
                </c:pt>
                <c:pt idx="448">
                  <c:v>7.6755809830695441</c:v>
                </c:pt>
                <c:pt idx="449">
                  <c:v>7.6179904092266053</c:v>
                </c:pt>
                <c:pt idx="450">
                  <c:v>7.5550514844267287</c:v>
                </c:pt>
                <c:pt idx="451">
                  <c:v>7.4866433686568623</c:v>
                </c:pt>
                <c:pt idx="452">
                  <c:v>7.4126453310658693</c:v>
                </c:pt>
                <c:pt idx="453">
                  <c:v>7.332937437493281</c:v>
                </c:pt>
                <c:pt idx="454">
                  <c:v>7.2474012954004463</c:v>
                </c:pt>
                <c:pt idx="455">
                  <c:v>7.1559208504741019</c:v>
                </c:pt>
                <c:pt idx="456">
                  <c:v>7.0583832276420804</c:v>
                </c:pt>
                <c:pt idx="457">
                  <c:v>6.9546796077276571</c:v>
                </c:pt>
                <c:pt idx="458">
                  <c:v>6.8447061294964309</c:v>
                </c:pt>
                <c:pt idx="459">
                  <c:v>6.7283648054969358</c:v>
                </c:pt>
                <c:pt idx="460">
                  <c:v>6.6055644389033352</c:v>
                </c:pt>
                <c:pt idx="461">
                  <c:v>6.4762215276064525</c:v>
                </c:pt>
                <c:pt idx="462">
                  <c:v>6.3402611411167715</c:v>
                </c:pt>
                <c:pt idx="463">
                  <c:v>6.1976177554957417</c:v>
                </c:pt>
                <c:pt idx="464">
                  <c:v>6.0482360315597159</c:v>
                </c:pt>
                <c:pt idx="465">
                  <c:v>5.8920715220238895</c:v>
                </c:pt>
                <c:pt idx="466">
                  <c:v>5.7290912941033874</c:v>
                </c:pt>
                <c:pt idx="467">
                  <c:v>5.5592744553371762</c:v>
                </c:pt>
                <c:pt idx="468">
                  <c:v>5.3826125720441729</c:v>
                </c:pt>
                <c:pt idx="469">
                  <c:v>5.1991099718103237</c:v>
                </c:pt>
                <c:pt idx="470">
                  <c:v>5.0087839236734046</c:v>
                </c:pt>
                <c:pt idx="471">
                  <c:v>4.811664692168633</c:v>
                </c:pt>
                <c:pt idx="472">
                  <c:v>4.6077954640093335</c:v>
                </c:pt>
                <c:pt idx="473">
                  <c:v>4.3972321488328268</c:v>
                </c:pt>
                <c:pt idx="474">
                  <c:v>4.180043058042032</c:v>
                </c:pt>
                <c:pt idx="475">
                  <c:v>3.9563084682240941</c:v>
                </c:pt>
                <c:pt idx="476">
                  <c:v>3.7261200778473698</c:v>
                </c:pt>
                <c:pt idx="477">
                  <c:v>3.4895803678679616</c:v>
                </c:pt>
                <c:pt idx="478">
                  <c:v>3.2468018784349555</c:v>
                </c:pt>
                <c:pt idx="479">
                  <c:v>2.997906415067753</c:v>
                </c:pt>
                <c:pt idx="480">
                  <c:v>2.743024198435227</c:v>
                </c:pt>
                <c:pt idx="481">
                  <c:v>2.4822929722214955</c:v>
                </c:pt>
                <c:pt idx="482">
                  <c:v>2.215857083511299</c:v>
                </c:pt>
                <c:pt idx="483">
                  <c:v>1.9438665497266192</c:v>
                </c:pt>
                <c:pt idx="484">
                  <c:v>1.6664761254034077</c:v>
                </c:pt>
                <c:pt idx="485">
                  <c:v>1.3838443811040257</c:v>
                </c:pt>
                <c:pt idx="486">
                  <c:v>1.0961328055423025</c:v>
                </c:pt>
                <c:pt idx="487">
                  <c:v>0.80350494063476385</c:v>
                </c:pt>
                <c:pt idx="488">
                  <c:v>0.5061255577285213</c:v>
                </c:pt>
                <c:pt idx="489">
                  <c:v>0.20415988175619573</c:v>
                </c:pt>
                <c:pt idx="490">
                  <c:v>-0.10222713142111982</c:v>
                </c:pt>
                <c:pt idx="491">
                  <c:v>-0.41287146066756164</c:v>
                </c:pt>
                <c:pt idx="492">
                  <c:v>-0.72761062575229207</c:v>
                </c:pt>
                <c:pt idx="493">
                  <c:v>-1.0462842328363633</c:v>
                </c:pt>
                <c:pt idx="494">
                  <c:v>-1.3687344591491979</c:v>
                </c:pt>
                <c:pt idx="495">
                  <c:v>-1.6948064777119443</c:v>
                </c:pt>
                <c:pt idx="496">
                  <c:v>-2.0243488237810672</c:v>
                </c:pt>
                <c:pt idx="497">
                  <c:v>-2.3572137053638418</c:v>
                </c:pt>
                <c:pt idx="498">
                  <c:v>-2.6932572606886742</c:v>
                </c:pt>
                <c:pt idx="499">
                  <c:v>-3.0323397659140507</c:v>
                </c:pt>
                <c:pt idx="500">
                  <c:v>-3.3743257966448805</c:v>
                </c:pt>
                <c:pt idx="501">
                  <c:v>-3.7190843469908028</c:v>
                </c:pt>
                <c:pt idx="502">
                  <c:v>-4.0664889099855666</c:v>
                </c:pt>
                <c:pt idx="503">
                  <c:v>-4.4164175231811527</c:v>
                </c:pt>
                <c:pt idx="504">
                  <c:v>-4.7687527831632339</c:v>
                </c:pt>
                <c:pt idx="505">
                  <c:v>-5.1233818326130551</c:v>
                </c:pt>
                <c:pt idx="506">
                  <c:v>-5.480196323376707</c:v>
                </c:pt>
                <c:pt idx="507">
                  <c:v>-5.8390923588067913</c:v>
                </c:pt>
                <c:pt idx="508">
                  <c:v>-6.1999704184289408</c:v>
                </c:pt>
                <c:pt idx="509">
                  <c:v>-6.5627352677520578</c:v>
                </c:pt>
                <c:pt idx="510">
                  <c:v>-6.9272958558095059</c:v>
                </c:pt>
                <c:pt idx="511">
                  <c:v>-7.2935652027778008</c:v>
                </c:pt>
                <c:pt idx="512">
                  <c:v>-7.6614602797919265</c:v>
                </c:pt>
                <c:pt idx="513">
                  <c:v>-8.0309018828465728</c:v>
                </c:pt>
                <c:pt idx="514">
                  <c:v>-8.4018145024611073</c:v>
                </c:pt>
                <c:pt idx="515">
                  <c:v>-8.7741261905829724</c:v>
                </c:pt>
                <c:pt idx="516">
                  <c:v>-9.1477684260145935</c:v>
                </c:pt>
                <c:pt idx="517">
                  <c:v>-9.5226759794755118</c:v>
                </c:pt>
                <c:pt idx="518">
                  <c:v>-9.8987867792482831</c:v>
                </c:pt>
                <c:pt idx="519">
                  <c:v>-10.27604177821633</c:v>
                </c:pt>
                <c:pt idx="520">
                  <c:v>-10.654384822964154</c:v>
                </c:pt>
                <c:pt idx="521">
                  <c:v>-11.033762525498361</c:v>
                </c:pt>
                <c:pt idx="522">
                  <c:v>-11.414124138036952</c:v>
                </c:pt>
                <c:pt idx="523">
                  <c:v>-11.795421431227371</c:v>
                </c:pt>
                <c:pt idx="524">
                  <c:v>-12.177608576068691</c:v>
                </c:pt>
                <c:pt idx="525">
                  <c:v>-12.560642029742038</c:v>
                </c:pt>
                <c:pt idx="526">
                  <c:v>-12.94448042549419</c:v>
                </c:pt>
                <c:pt idx="527">
                  <c:v>-13.329084466662412</c:v>
                </c:pt>
                <c:pt idx="528">
                  <c:v>-13.714416824888033</c:v>
                </c:pt>
                <c:pt idx="529">
                  <c:v>-14.100442042523806</c:v>
                </c:pt>
                <c:pt idx="530">
                  <c:v>-14.487126439209216</c:v>
                </c:pt>
                <c:pt idx="531">
                  <c:v>-14.874438022562524</c:v>
                </c:pt>
                <c:pt idx="532">
                  <c:v>-15.262346402914957</c:v>
                </c:pt>
                <c:pt idx="533">
                  <c:v>-15.65082271199522</c:v>
                </c:pt>
                <c:pt idx="534">
                  <c:v>-16.039839525459968</c:v>
                </c:pt>
                <c:pt idx="535">
                  <c:v>-16.429370789152081</c:v>
                </c:pt>
                <c:pt idx="536">
                  <c:v>-16.81939174896354</c:v>
                </c:pt>
                <c:pt idx="537">
                  <c:v>-17.209878884174543</c:v>
                </c:pt>
                <c:pt idx="538">
                  <c:v>-17.600809844132577</c:v>
                </c:pt>
                <c:pt idx="539">
                  <c:v>-17.992163388138259</c:v>
                </c:pt>
                <c:pt idx="540">
                  <c:v>-18.383919328402005</c:v>
                </c:pt>
                <c:pt idx="541">
                  <c:v>-18.776058475936214</c:v>
                </c:pt>
              </c:numCache>
            </c:numRef>
          </c:yVal>
          <c:smooth val="1"/>
          <c:extLst>
            <c:ext xmlns:c16="http://schemas.microsoft.com/office/drawing/2014/chart" uri="{C3380CC4-5D6E-409C-BE32-E72D297353CC}">
              <c16:uniqueId val="{00000000-8173-45EB-83AD-B179A66292B6}"/>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76.762681058257442</c:v>
                </c:pt>
                <c:pt idx="1">
                  <c:v>76.468673158326055</c:v>
                </c:pt>
                <c:pt idx="2">
                  <c:v>76.168786991928812</c:v>
                </c:pt>
                <c:pt idx="3">
                  <c:v>75.862948734216545</c:v>
                </c:pt>
                <c:pt idx="4">
                  <c:v>75.551086652281825</c:v>
                </c:pt>
                <c:pt idx="5">
                  <c:v>75.233131351365358</c:v>
                </c:pt>
                <c:pt idx="6">
                  <c:v>74.909016033375551</c:v>
                </c:pt>
                <c:pt idx="7">
                  <c:v>74.578676767801184</c:v>
                </c:pt>
                <c:pt idx="8">
                  <c:v>74.242052775034196</c:v>
                </c:pt>
                <c:pt idx="9">
                  <c:v>73.899086722049276</c:v>
                </c:pt>
                <c:pt idx="10">
                  <c:v>73.549725030311379</c:v>
                </c:pt>
                <c:pt idx="11">
                  <c:v>73.193918195695701</c:v>
                </c:pt>
                <c:pt idx="12">
                  <c:v>72.83162112010946</c:v>
                </c:pt>
                <c:pt idx="13">
                  <c:v>72.462793454404888</c:v>
                </c:pt>
                <c:pt idx="14">
                  <c:v>72.087399952060679</c:v>
                </c:pt>
                <c:pt idx="15">
                  <c:v>71.705410832986274</c:v>
                </c:pt>
                <c:pt idx="16">
                  <c:v>71.316802156680666</c:v>
                </c:pt>
                <c:pt idx="17">
                  <c:v>70.921556203836843</c:v>
                </c:pt>
                <c:pt idx="18">
                  <c:v>70.519661865340794</c:v>
                </c:pt>
                <c:pt idx="19">
                  <c:v>70.111115037462852</c:v>
                </c:pt>
                <c:pt idx="20">
                  <c:v>69.695919021882361</c:v>
                </c:pt>
                <c:pt idx="21">
                  <c:v>69.274084929025264</c:v>
                </c:pt>
                <c:pt idx="22">
                  <c:v>68.845632083028335</c:v>
                </c:pt>
                <c:pt idx="23">
                  <c:v>68.410588426474646</c:v>
                </c:pt>
                <c:pt idx="24">
                  <c:v>67.968990922881886</c:v>
                </c:pt>
                <c:pt idx="25">
                  <c:v>67.520885954748209</c:v>
                </c:pt>
                <c:pt idx="26">
                  <c:v>67.066329714813392</c:v>
                </c:pt>
                <c:pt idx="27">
                  <c:v>66.605388588020233</c:v>
                </c:pt>
                <c:pt idx="28">
                  <c:v>66.13813952152617</c:v>
                </c:pt>
                <c:pt idx="29">
                  <c:v>65.664670379974254</c:v>
                </c:pt>
                <c:pt idx="30">
                  <c:v>65.185080283114928</c:v>
                </c:pt>
                <c:pt idx="31">
                  <c:v>64.699479922766486</c:v>
                </c:pt>
                <c:pt idx="32">
                  <c:v>64.207991856026666</c:v>
                </c:pt>
                <c:pt idx="33">
                  <c:v>63.710750771583768</c:v>
                </c:pt>
                <c:pt idx="34">
                  <c:v>63.207903725962701</c:v>
                </c:pt>
                <c:pt idx="35">
                  <c:v>62.699610346532211</c:v>
                </c:pt>
                <c:pt idx="36">
                  <c:v>62.186042998147556</c:v>
                </c:pt>
                <c:pt idx="37">
                  <c:v>61.667386910377978</c:v>
                </c:pt>
                <c:pt idx="38">
                  <c:v>61.143840262381147</c:v>
                </c:pt>
                <c:pt idx="39">
                  <c:v>60.615614222645704</c:v>
                </c:pt>
                <c:pt idx="40">
                  <c:v>60.082932941025653</c:v>
                </c:pt>
                <c:pt idx="41">
                  <c:v>59.546033490728249</c:v>
                </c:pt>
                <c:pt idx="42">
                  <c:v>59.005165758206815</c:v>
                </c:pt>
                <c:pt idx="43">
                  <c:v>58.460592279239577</c:v>
                </c:pt>
                <c:pt idx="44">
                  <c:v>57.912588019843575</c:v>
                </c:pt>
                <c:pt idx="45">
                  <c:v>57.361440101077022</c:v>
                </c:pt>
                <c:pt idx="46">
                  <c:v>56.807447467236834</c:v>
                </c:pt>
                <c:pt idx="47">
                  <c:v>56.250920497414128</c:v>
                </c:pt>
                <c:pt idx="48">
                  <c:v>55.692180560885014</c:v>
                </c:pt>
                <c:pt idx="49">
                  <c:v>55.131559517317413</c:v>
                </c:pt>
                <c:pt idx="50">
                  <c:v>54.569399163308411</c:v>
                </c:pt>
                <c:pt idx="51">
                  <c:v>54.006050627299608</c:v>
                </c:pt>
                <c:pt idx="52">
                  <c:v>53.441873715447109</c:v>
                </c:pt>
                <c:pt idx="53">
                  <c:v>52.877236211536285</c:v>
                </c:pt>
                <c:pt idx="54">
                  <c:v>52.31251313453599</c:v>
                </c:pt>
                <c:pt idx="55">
                  <c:v>51.748085957851153</c:v>
                </c:pt>
                <c:pt idx="56">
                  <c:v>51.184341794764947</c:v>
                </c:pt>
                <c:pt idx="57">
                  <c:v>50.621672554953335</c:v>
                </c:pt>
                <c:pt idx="58">
                  <c:v>50.060474077287658</c:v>
                </c:pt>
                <c:pt idx="59">
                  <c:v>49.501145244422339</c:v>
                </c:pt>
                <c:pt idx="60">
                  <c:v>48.944087084878625</c:v>
                </c:pt>
                <c:pt idx="61">
                  <c:v>48.389701868486746</c:v>
                </c:pt>
                <c:pt idx="62">
                  <c:v>47.838392201128507</c:v>
                </c:pt>
                <c:pt idx="63">
                  <c:v>47.290560124717892</c:v>
                </c:pt>
                <c:pt idx="64">
                  <c:v>46.746606228318036</c:v>
                </c:pt>
                <c:pt idx="65">
                  <c:v>46.20692877613088</c:v>
                </c:pt>
                <c:pt idx="66">
                  <c:v>45.671922857908207</c:v>
                </c:pt>
                <c:pt idx="67">
                  <c:v>45.141979567062222</c:v>
                </c:pt>
                <c:pt idx="68">
                  <c:v>44.617485211431124</c:v>
                </c:pt>
                <c:pt idx="69">
                  <c:v>44.098820561264134</c:v>
                </c:pt>
                <c:pt idx="70">
                  <c:v>43.586360138579948</c:v>
                </c:pt>
                <c:pt idx="71">
                  <c:v>43.080471551575265</c:v>
                </c:pt>
                <c:pt idx="72">
                  <c:v>42.581514877270415</c:v>
                </c:pt>
                <c:pt idx="73">
                  <c:v>42.089842095059801</c:v>
                </c:pt>
                <c:pt idx="74">
                  <c:v>41.605796573302477</c:v>
                </c:pt>
                <c:pt idx="75">
                  <c:v>41.12971261054814</c:v>
                </c:pt>
                <c:pt idx="76">
                  <c:v>40.661915032463384</c:v>
                </c:pt>
                <c:pt idx="77">
                  <c:v>40.202718844987629</c:v>
                </c:pt>
                <c:pt idx="78">
                  <c:v>39.752428943754488</c:v>
                </c:pt>
                <c:pt idx="79">
                  <c:v>39.311339879308761</c:v>
                </c:pt>
                <c:pt idx="80">
                  <c:v>38.879735677209105</c:v>
                </c:pt>
                <c:pt idx="81">
                  <c:v>38.457889711672017</c:v>
                </c:pt>
                <c:pt idx="82">
                  <c:v>38.046064631032856</c:v>
                </c:pt>
                <c:pt idx="83">
                  <c:v>37.644512332942909</c:v>
                </c:pt>
                <c:pt idx="84">
                  <c:v>37.253473986926721</c:v>
                </c:pt>
                <c:pt idx="85">
                  <c:v>36.87318010165616</c:v>
                </c:pt>
                <c:pt idx="86">
                  <c:v>36.503850634072883</c:v>
                </c:pt>
                <c:pt idx="87">
                  <c:v>36.145695137328225</c:v>
                </c:pt>
                <c:pt idx="88">
                  <c:v>35.798912944353184</c:v>
                </c:pt>
                <c:pt idx="89">
                  <c:v>35.463693383798066</c:v>
                </c:pt>
                <c:pt idx="90">
                  <c:v>35.140216025004584</c:v>
                </c:pt>
                <c:pt idx="91">
                  <c:v>34.828650948658606</c:v>
                </c:pt>
                <c:pt idx="92">
                  <c:v>34.529159039779529</c:v>
                </c:pt>
                <c:pt idx="93">
                  <c:v>34.241892299733607</c:v>
                </c:pt>
                <c:pt idx="94">
                  <c:v>33.966994174032585</c:v>
                </c:pt>
                <c:pt idx="95">
                  <c:v>33.704599892751673</c:v>
                </c:pt>
                <c:pt idx="96">
                  <c:v>33.454836820511503</c:v>
                </c:pt>
                <c:pt idx="97">
                  <c:v>33.217824813090701</c:v>
                </c:pt>
                <c:pt idx="98">
                  <c:v>32.993676577860334</c:v>
                </c:pt>
                <c:pt idx="99">
                  <c:v>32.782498035383689</c:v>
                </c:pt>
                <c:pt idx="100">
                  <c:v>32.584388679666212</c:v>
                </c:pt>
                <c:pt idx="101">
                  <c:v>32.399441934695794</c:v>
                </c:pt>
                <c:pt idx="102">
                  <c:v>32.227745505077792</c:v>
                </c:pt>
                <c:pt idx="103">
                  <c:v>32.069381718711959</c:v>
                </c:pt>
                <c:pt idx="104">
                  <c:v>31.92442785963031</c:v>
                </c:pt>
                <c:pt idx="105">
                  <c:v>31.792956489249502</c:v>
                </c:pt>
                <c:pt idx="106">
                  <c:v>31.675035754457571</c:v>
                </c:pt>
                <c:pt idx="107">
                  <c:v>31.570729681084721</c:v>
                </c:pt>
                <c:pt idx="108">
                  <c:v>31.480098451453099</c:v>
                </c:pt>
                <c:pt idx="109">
                  <c:v>31.403198664829812</c:v>
                </c:pt>
                <c:pt idx="110">
                  <c:v>31.340083579732411</c:v>
                </c:pt>
                <c:pt idx="111">
                  <c:v>31.290803337152028</c:v>
                </c:pt>
                <c:pt idx="112">
                  <c:v>31.255405163878049</c:v>
                </c:pt>
                <c:pt idx="113">
                  <c:v>31.233933555202309</c:v>
                </c:pt>
                <c:pt idx="114">
                  <c:v>31.226430436391482</c:v>
                </c:pt>
                <c:pt idx="115">
                  <c:v>31.232935302398907</c:v>
                </c:pt>
                <c:pt idx="116">
                  <c:v>31.25348533538358</c:v>
                </c:pt>
                <c:pt idx="117">
                  <c:v>31.288115499681808</c:v>
                </c:pt>
                <c:pt idx="118">
                  <c:v>31.33685861395919</c:v>
                </c:pt>
                <c:pt idx="119">
                  <c:v>31.399745400347872</c:v>
                </c:pt>
                <c:pt idx="120">
                  <c:v>31.476804510444641</c:v>
                </c:pt>
                <c:pt idx="121">
                  <c:v>31.568062528124301</c:v>
                </c:pt>
                <c:pt idx="122">
                  <c:v>31.673543949188286</c:v>
                </c:pt>
                <c:pt idx="123">
                  <c:v>31.793271137945435</c:v>
                </c:pt>
                <c:pt idx="124">
                  <c:v>31.927264260897466</c:v>
                </c:pt>
                <c:pt idx="125">
                  <c:v>32.075541197769958</c:v>
                </c:pt>
                <c:pt idx="126">
                  <c:v>32.238117430216029</c:v>
                </c:pt>
                <c:pt idx="127">
                  <c:v>32.415005908598985</c:v>
                </c:pt>
                <c:pt idx="128">
                  <c:v>32.606216897344112</c:v>
                </c:pt>
                <c:pt idx="129">
                  <c:v>32.811757799448316</c:v>
                </c:pt>
                <c:pt idx="130">
                  <c:v>33.03163296082392</c:v>
                </c:pt>
                <c:pt idx="131">
                  <c:v>33.26584345526436</c:v>
                </c:pt>
                <c:pt idx="132">
                  <c:v>33.514386850922634</c:v>
                </c:pt>
                <c:pt idx="133">
                  <c:v>33.777256959313732</c:v>
                </c:pt>
                <c:pt idx="134">
                  <c:v>34.054443567968455</c:v>
                </c:pt>
                <c:pt idx="135">
                  <c:v>34.345932158003535</c:v>
                </c:pt>
                <c:pt idx="136">
                  <c:v>34.651703607998492</c:v>
                </c:pt>
                <c:pt idx="137">
                  <c:v>34.971733885715821</c:v>
                </c:pt>
                <c:pt idx="138">
                  <c:v>35.305993729344983</c:v>
                </c:pt>
                <c:pt idx="139">
                  <c:v>35.65444832010354</c:v>
                </c:pt>
                <c:pt idx="140">
                  <c:v>36.017056948169092</c:v>
                </c:pt>
                <c:pt idx="141">
                  <c:v>36.393772674090641</c:v>
                </c:pt>
                <c:pt idx="142">
                  <c:v>36.784541987956217</c:v>
                </c:pt>
                <c:pt idx="143">
                  <c:v>37.189304468767951</c:v>
                </c:pt>
                <c:pt idx="144">
                  <c:v>37.60799244660334</c:v>
                </c:pt>
                <c:pt idx="145">
                  <c:v>38.040530670296505</c:v>
                </c:pt>
                <c:pt idx="146">
                  <c:v>38.486835983492853</c:v>
                </c:pt>
                <c:pt idx="147">
                  <c:v>38.946817012050694</c:v>
                </c:pt>
                <c:pt idx="148">
                  <c:v>39.420373865872975</c:v>
                </c:pt>
                <c:pt idx="149">
                  <c:v>39.907397858319683</c:v>
                </c:pt>
                <c:pt idx="150">
                  <c:v>40.407771246431942</c:v>
                </c:pt>
                <c:pt idx="151">
                  <c:v>40.921366995216758</c:v>
                </c:pt>
                <c:pt idx="152">
                  <c:v>41.44804856926271</c:v>
                </c:pt>
                <c:pt idx="153">
                  <c:v>41.987669754920901</c:v>
                </c:pt>
                <c:pt idx="154">
                  <c:v>42.54007451623545</c:v>
                </c:pt>
                <c:pt idx="155">
                  <c:v>43.105096887704775</c:v>
                </c:pt>
                <c:pt idx="156">
                  <c:v>43.682560906819418</c:v>
                </c:pt>
                <c:pt idx="157">
                  <c:v>44.272280589147137</c:v>
                </c:pt>
                <c:pt idx="158">
                  <c:v>44.874059948510649</c:v>
                </c:pt>
                <c:pt idx="159">
                  <c:v>45.487693064540935</c:v>
                </c:pt>
                <c:pt idx="160">
                  <c:v>46.112964199586678</c:v>
                </c:pt>
                <c:pt idx="161">
                  <c:v>46.749647966595475</c:v>
                </c:pt>
                <c:pt idx="162">
                  <c:v>47.397509549213702</c:v>
                </c:pt>
                <c:pt idx="163">
                  <c:v>48.056304974904208</c:v>
                </c:pt>
                <c:pt idx="164">
                  <c:v>48.725781441427344</c:v>
                </c:pt>
                <c:pt idx="165">
                  <c:v>49.40567769654303</c:v>
                </c:pt>
                <c:pt idx="166">
                  <c:v>50.095724470260926</c:v>
                </c:pt>
                <c:pt idx="167">
                  <c:v>50.795644958449181</c:v>
                </c:pt>
                <c:pt idx="168">
                  <c:v>51.505155356050288</c:v>
                </c:pt>
                <c:pt idx="169">
                  <c:v>52.223965437613636</c:v>
                </c:pt>
                <c:pt idx="170">
                  <c:v>52.951779182303319</c:v>
                </c:pt>
                <c:pt idx="171">
                  <c:v>53.688295440010826</c:v>
                </c:pt>
                <c:pt idx="172">
                  <c:v>54.433208634689166</c:v>
                </c:pt>
                <c:pt idx="173">
                  <c:v>55.186209500545026</c:v>
                </c:pt>
                <c:pt idx="174">
                  <c:v>55.946985846274998</c:v>
                </c:pt>
                <c:pt idx="175">
                  <c:v>56.715223342147446</c:v>
                </c:pt>
                <c:pt idx="176">
                  <c:v>57.490606324368379</c:v>
                </c:pt>
                <c:pt idx="177">
                  <c:v>58.272818610897978</c:v>
                </c:pt>
                <c:pt idx="178">
                  <c:v>59.061544322651372</c:v>
                </c:pt>
                <c:pt idx="179">
                  <c:v>59.856468703866589</c:v>
                </c:pt>
                <c:pt idx="180">
                  <c:v>60.657278935342688</c:v>
                </c:pt>
                <c:pt idx="181">
                  <c:v>61.46366493423016</c:v>
                </c:pt>
                <c:pt idx="182">
                  <c:v>62.275320134133992</c:v>
                </c:pt>
                <c:pt idx="183">
                  <c:v>63.091942239402222</c:v>
                </c:pt>
                <c:pt idx="184">
                  <c:v>63.913233947702196</c:v>
                </c:pt>
                <c:pt idx="185">
                  <c:v>64.738903635234806</c:v>
                </c:pt>
                <c:pt idx="186">
                  <c:v>65.568665999276689</c:v>
                </c:pt>
                <c:pt idx="187">
                  <c:v>66.402242653127033</c:v>
                </c:pt>
                <c:pt idx="188">
                  <c:v>67.239362668965498</c:v>
                </c:pt>
                <c:pt idx="189">
                  <c:v>68.079763064605672</c:v>
                </c:pt>
                <c:pt idx="190">
                  <c:v>68.923189230641242</c:v>
                </c:pt>
                <c:pt idx="191">
                  <c:v>69.769395295001644</c:v>
                </c:pt>
                <c:pt idx="192">
                  <c:v>70.618144422510767</c:v>
                </c:pt>
                <c:pt idx="193">
                  <c:v>71.469209047578062</c:v>
                </c:pt>
                <c:pt idx="194">
                  <c:v>72.322371038738069</c:v>
                </c:pt>
                <c:pt idx="195">
                  <c:v>73.177421794292428</c:v>
                </c:pt>
                <c:pt idx="196">
                  <c:v>74.034162268875633</c:v>
                </c:pt>
                <c:pt idx="197">
                  <c:v>74.892402931282646</c:v>
                </c:pt>
                <c:pt idx="198">
                  <c:v>75.751963654406737</c:v>
                </c:pt>
                <c:pt idx="199">
                  <c:v>76.612673538624392</c:v>
                </c:pt>
                <c:pt idx="200">
                  <c:v>77.474370670406813</c:v>
                </c:pt>
                <c:pt idx="201">
                  <c:v>78.336901818362904</c:v>
                </c:pt>
                <c:pt idx="202">
                  <c:v>79.200122069300633</c:v>
                </c:pt>
                <c:pt idx="203">
                  <c:v>80.063894407250231</c:v>
                </c:pt>
                <c:pt idx="204">
                  <c:v>80.928089238702583</c:v>
                </c:pt>
                <c:pt idx="205">
                  <c:v>81.792583867602431</c:v>
                </c:pt>
                <c:pt idx="206">
                  <c:v>82.657261923883596</c:v>
                </c:pt>
                <c:pt idx="207">
                  <c:v>83.522012749554307</c:v>
                </c:pt>
                <c:pt idx="208">
                  <c:v>84.386730746518538</c:v>
                </c:pt>
                <c:pt idx="209">
                  <c:v>85.251314690494709</c:v>
                </c:pt>
                <c:pt idx="210">
                  <c:v>86.115667015510553</c:v>
                </c:pt>
                <c:pt idx="211">
                  <c:v>86.979693073574552</c:v>
                </c:pt>
                <c:pt idx="212">
                  <c:v>87.843300374209775</c:v>
                </c:pt>
                <c:pt idx="213">
                  <c:v>88.7063978086031</c:v>
                </c:pt>
                <c:pt idx="214">
                  <c:v>89.568894863176496</c:v>
                </c:pt>
                <c:pt idx="215">
                  <c:v>90.430700827420651</c:v>
                </c:pt>
                <c:pt idx="216">
                  <c:v>91.291724000846386</c:v>
                </c:pt>
                <c:pt idx="217">
                  <c:v>92.151870903916134</c:v>
                </c:pt>
                <c:pt idx="218">
                  <c:v>93.011045497802257</c:v>
                </c:pt>
                <c:pt idx="219">
                  <c:v>93.86914841778794</c:v>
                </c:pt>
                <c:pt idx="220">
                  <c:v>94.726076225087184</c:v>
                </c:pt>
                <c:pt idx="221">
                  <c:v>95.581720681790159</c:v>
                </c:pt>
                <c:pt idx="222">
                  <c:v>96.435968053562959</c:v>
                </c:pt>
                <c:pt idx="223">
                  <c:v>97.288698444625894</c:v>
                </c:pt>
                <c:pt idx="224">
                  <c:v>98.139785169403865</c:v>
                </c:pt>
                <c:pt idx="225">
                  <c:v>98.989094165101847</c:v>
                </c:pt>
                <c:pt idx="226">
                  <c:v>99.836483449266225</c:v>
                </c:pt>
                <c:pt idx="227">
                  <c:v>100.68180262619421</c:v>
                </c:pt>
                <c:pt idx="228">
                  <c:v>101.52489244581179</c:v>
                </c:pt>
                <c:pt idx="229">
                  <c:v>102.36558441837334</c:v>
                </c:pt>
                <c:pt idx="230">
                  <c:v>103.20370048801504</c:v>
                </c:pt>
                <c:pt idx="231">
                  <c:v>104.03905276787954</c:v>
                </c:pt>
                <c:pt idx="232">
                  <c:v>104.87144333912944</c:v>
                </c:pt>
                <c:pt idx="233">
                  <c:v>105.7006641157743</c:v>
                </c:pt>
                <c:pt idx="234">
                  <c:v>106.52649677678764</c:v>
                </c:pt>
                <c:pt idx="235">
                  <c:v>107.34871276651835</c:v>
                </c:pt>
                <c:pt idx="236">
                  <c:v>108.1670733639033</c:v>
                </c:pt>
                <c:pt idx="237">
                  <c:v>108.98132982046319</c:v>
                </c:pt>
                <c:pt idx="238">
                  <c:v>109.79122356652141</c:v>
                </c:pt>
                <c:pt idx="239">
                  <c:v>110.59648648452813</c:v>
                </c:pt>
                <c:pt idx="240">
                  <c:v>111.3968412478151</c:v>
                </c:pt>
                <c:pt idx="241">
                  <c:v>112.19200172253713</c:v>
                </c:pt>
                <c:pt idx="242">
                  <c:v>112.9816734300048</c:v>
                </c:pt>
                <c:pt idx="243">
                  <c:v>113.76555406607197</c:v>
                </c:pt>
                <c:pt idx="244">
                  <c:v>114.54333407372431</c:v>
                </c:pt>
                <c:pt idx="245">
                  <c:v>115.31469726452976</c:v>
                </c:pt>
                <c:pt idx="246">
                  <c:v>116.07932148416718</c:v>
                </c:pt>
                <c:pt idx="247">
                  <c:v>116.83687931684176</c:v>
                </c:pt>
                <c:pt idx="248">
                  <c:v>117.58703882306131</c:v>
                </c:pt>
                <c:pt idx="249">
                  <c:v>118.32946430494478</c:v>
                </c:pt>
                <c:pt idx="250">
                  <c:v>119.06381709302718</c:v>
                </c:pt>
                <c:pt idx="251">
                  <c:v>119.78975634835449</c:v>
                </c:pt>
                <c:pt idx="252">
                  <c:v>120.50693987359351</c:v>
                </c:pt>
                <c:pt idx="253">
                  <c:v>121.21502492685723</c:v>
                </c:pt>
                <c:pt idx="254">
                  <c:v>121.91366903202434</c:v>
                </c:pt>
                <c:pt idx="255">
                  <c:v>122.60253077944947</c:v>
                </c:pt>
                <c:pt idx="256">
                  <c:v>123.28127061117716</c:v>
                </c:pt>
                <c:pt idx="257">
                  <c:v>123.94955158503657</c:v>
                </c:pt>
                <c:pt idx="258">
                  <c:v>124.60704011232657</c:v>
                </c:pt>
                <c:pt idx="259">
                  <c:v>125.25340666418009</c:v>
                </c:pt>
                <c:pt idx="260">
                  <c:v>125.88832644213851</c:v>
                </c:pt>
                <c:pt idx="261">
                  <c:v>126.51148000893208</c:v>
                </c:pt>
                <c:pt idx="262">
                  <c:v>127.12255387596893</c:v>
                </c:pt>
                <c:pt idx="263">
                  <c:v>127.72124104457177</c:v>
                </c:pt>
                <c:pt idx="264">
                  <c:v>128.30724149853063</c:v>
                </c:pt>
                <c:pt idx="265">
                  <c:v>128.88026264610997</c:v>
                </c:pt>
                <c:pt idx="266">
                  <c:v>129.44001971018236</c:v>
                </c:pt>
                <c:pt idx="267">
                  <c:v>129.98623606571533</c:v>
                </c:pt>
                <c:pt idx="268">
                  <c:v>130.5186435243522</c:v>
                </c:pt>
                <c:pt idx="269">
                  <c:v>131.03698256633984</c:v>
                </c:pt>
                <c:pt idx="270">
                  <c:v>131.5410025205255</c:v>
                </c:pt>
                <c:pt idx="271">
                  <c:v>132.03046169359047</c:v>
                </c:pt>
                <c:pt idx="272">
                  <c:v>132.50512745008984</c:v>
                </c:pt>
                <c:pt idx="273">
                  <c:v>132.96477624523763</c:v>
                </c:pt>
                <c:pt idx="274">
                  <c:v>133.4091936126934</c:v>
                </c:pt>
                <c:pt idx="275">
                  <c:v>133.83817410989741</c:v>
                </c:pt>
                <c:pt idx="276">
                  <c:v>134.25152122372799</c:v>
                </c:pt>
                <c:pt idx="277">
                  <c:v>134.64904723945256</c:v>
                </c:pt>
                <c:pt idx="278">
                  <c:v>135.03057307610155</c:v>
                </c:pt>
                <c:pt idx="279">
                  <c:v>135.39592809149335</c:v>
                </c:pt>
                <c:pt idx="280">
                  <c:v>135.74494986022566</c:v>
                </c:pt>
                <c:pt idx="281">
                  <c:v>136.07748392797328</c:v>
                </c:pt>
                <c:pt idx="282">
                  <c:v>136.39338354544765</c:v>
                </c:pt>
                <c:pt idx="283">
                  <c:v>136.69250938533654</c:v>
                </c:pt>
                <c:pt idx="284">
                  <c:v>136.97472924550192</c:v>
                </c:pt>
                <c:pt idx="285">
                  <c:v>137.23991774162664</c:v>
                </c:pt>
                <c:pt idx="286">
                  <c:v>137.48795599241288</c:v>
                </c:pt>
                <c:pt idx="287">
                  <c:v>137.71873130031645</c:v>
                </c:pt>
                <c:pt idx="288">
                  <c:v>137.93213683067509</c:v>
                </c:pt>
                <c:pt idx="289">
                  <c:v>138.12807129195383</c:v>
                </c:pt>
                <c:pt idx="290">
                  <c:v>138.30643861967303</c:v>
                </c:pt>
                <c:pt idx="291">
                  <c:v>138.46714766644314</c:v>
                </c:pt>
                <c:pt idx="292">
                  <c:v>138.61011190036422</c:v>
                </c:pt>
                <c:pt idx="293">
                  <c:v>138.73524911388989</c:v>
                </c:pt>
                <c:pt idx="294">
                  <c:v>138.84248114509862</c:v>
                </c:pt>
                <c:pt idx="295">
                  <c:v>138.93173361314925</c:v>
                </c:pt>
                <c:pt idx="296">
                  <c:v>139.00293566954696</c:v>
                </c:pt>
                <c:pt idx="297">
                  <c:v>139.05601976668581</c:v>
                </c:pt>
                <c:pt idx="298">
                  <c:v>139.09092144498595</c:v>
                </c:pt>
                <c:pt idx="299">
                  <c:v>139.10757913979472</c:v>
                </c:pt>
                <c:pt idx="300">
                  <c:v>139.10593400907777</c:v>
                </c:pt>
                <c:pt idx="301">
                  <c:v>139.08592978278591</c:v>
                </c:pt>
                <c:pt idx="302">
                  <c:v>139.04751263465107</c:v>
                </c:pt>
                <c:pt idx="303">
                  <c:v>138.9906310770302</c:v>
                </c:pt>
                <c:pt idx="304">
                  <c:v>138.91523587928629</c:v>
                </c:pt>
                <c:pt idx="305">
                  <c:v>138.82128001007598</c:v>
                </c:pt>
                <c:pt idx="306">
                  <c:v>138.70871860377713</c:v>
                </c:pt>
                <c:pt idx="307">
                  <c:v>138.57750895118539</c:v>
                </c:pt>
                <c:pt idx="308">
                  <c:v>138.42761051446368</c:v>
                </c:pt>
                <c:pt idx="309">
                  <c:v>138.25898496623259</c:v>
                </c:pt>
                <c:pt idx="310">
                  <c:v>138.07159625254067</c:v>
                </c:pt>
                <c:pt idx="311">
                  <c:v>137.86541067935138</c:v>
                </c:pt>
                <c:pt idx="312">
                  <c:v>137.64039702204519</c:v>
                </c:pt>
                <c:pt idx="313">
                  <c:v>137.39652665730503</c:v>
                </c:pt>
                <c:pt idx="314">
                  <c:v>137.13377371663327</c:v>
                </c:pt>
                <c:pt idx="315">
                  <c:v>136.85211526059607</c:v>
                </c:pt>
                <c:pt idx="316">
                  <c:v>136.55153147276786</c:v>
                </c:pt>
                <c:pt idx="317">
                  <c:v>136.23200587219173</c:v>
                </c:pt>
                <c:pt idx="318">
                  <c:v>135.89352554303295</c:v>
                </c:pt>
                <c:pt idx="319">
                  <c:v>135.53608137995201</c:v>
                </c:pt>
                <c:pt idx="320">
                  <c:v>135.15966834756435</c:v>
                </c:pt>
                <c:pt idx="321">
                  <c:v>134.7642857522053</c:v>
                </c:pt>
                <c:pt idx="322">
                  <c:v>134.34993752405839</c:v>
                </c:pt>
                <c:pt idx="323">
                  <c:v>133.91663250754837</c:v>
                </c:pt>
                <c:pt idx="324">
                  <c:v>133.46438475774639</c:v>
                </c:pt>
                <c:pt idx="325">
                  <c:v>132.99321384038271</c:v>
                </c:pt>
                <c:pt idx="326">
                  <c:v>132.50314513291534</c:v>
                </c:pt>
                <c:pt idx="327">
                  <c:v>131.99421012396388</c:v>
                </c:pt>
                <c:pt idx="328">
                  <c:v>131.46644670828852</c:v>
                </c:pt>
                <c:pt idx="329">
                  <c:v>130.91989947437929</c:v>
                </c:pt>
                <c:pt idx="330">
                  <c:v>130.35461998162023</c:v>
                </c:pt>
                <c:pt idx="331">
                  <c:v>129.77066702391014</c:v>
                </c:pt>
                <c:pt idx="332">
                  <c:v>129.16810687656428</c:v>
                </c:pt>
                <c:pt idx="333">
                  <c:v>128.54701352328249</c:v>
                </c:pt>
                <c:pt idx="334">
                  <c:v>127.90746885997395</c:v>
                </c:pt>
                <c:pt idx="335">
                  <c:v>127.24956287223667</c:v>
                </c:pt>
                <c:pt idx="336">
                  <c:v>126.57339378336972</c:v>
                </c:pt>
                <c:pt idx="337">
                  <c:v>125.87906816987575</c:v>
                </c:pt>
                <c:pt idx="338">
                  <c:v>125.16670104155645</c:v>
                </c:pt>
                <c:pt idx="339">
                  <c:v>124.4364158834815</c:v>
                </c:pt>
                <c:pt idx="340">
                  <c:v>123.68834465732142</c:v>
                </c:pt>
                <c:pt idx="341">
                  <c:v>122.92262775980461</c:v>
                </c:pt>
                <c:pt idx="342">
                  <c:v>122.13941393636138</c:v>
                </c:pt>
                <c:pt idx="343">
                  <c:v>121.33886014836123</c:v>
                </c:pt>
                <c:pt idx="344">
                  <c:v>120.52113139273591</c:v>
                </c:pt>
                <c:pt idx="345">
                  <c:v>119.68640047320598</c:v>
                </c:pt>
                <c:pt idx="346">
                  <c:v>118.83484772278008</c:v>
                </c:pt>
                <c:pt idx="347">
                  <c:v>117.96666067769006</c:v>
                </c:pt>
                <c:pt idx="348">
                  <c:v>117.08203370341955</c:v>
                </c:pt>
                <c:pt idx="349">
                  <c:v>116.18116757402471</c:v>
                </c:pt>
                <c:pt idx="350">
                  <c:v>115.26426900647125</c:v>
                </c:pt>
                <c:pt idx="351">
                  <c:v>114.33155015225738</c:v>
                </c:pt>
                <c:pt idx="352">
                  <c:v>113.38322804911587</c:v>
                </c:pt>
                <c:pt idx="353">
                  <c:v>112.41952403611998</c:v>
                </c:pt>
                <c:pt idx="354">
                  <c:v>111.44066313599753</c:v>
                </c:pt>
                <c:pt idx="355">
                  <c:v>110.44687340893871</c:v>
                </c:pt>
                <c:pt idx="356">
                  <c:v>109.43838528258765</c:v>
                </c:pt>
                <c:pt idx="357">
                  <c:v>108.41543086329717</c:v>
                </c:pt>
                <c:pt idx="358">
                  <c:v>107.37824323403849</c:v>
                </c:pt>
                <c:pt idx="359">
                  <c:v>106.32705574461119</c:v>
                </c:pt>
                <c:pt idx="360">
                  <c:v>105.26210129999129</c:v>
                </c:pt>
                <c:pt idx="361">
                  <c:v>104.18361165276774</c:v>
                </c:pt>
                <c:pt idx="362">
                  <c:v>103.09181670565214</c:v>
                </c:pt>
                <c:pt idx="363">
                  <c:v>101.98694383001201</c:v>
                </c:pt>
                <c:pt idx="364">
                  <c:v>100.86921720624827</c:v>
                </c:pt>
                <c:pt idx="365">
                  <c:v>99.738857191656564</c:v>
                </c:pt>
                <c:pt idx="366">
                  <c:v>98.596079721114648</c:v>
                </c:pt>
                <c:pt idx="367">
                  <c:v>97.441095745613325</c:v>
                </c:pt>
                <c:pt idx="368">
                  <c:v>96.27411071321535</c:v>
                </c:pt>
                <c:pt idx="369">
                  <c:v>95.095324096566571</c:v>
                </c:pt>
                <c:pt idx="370">
                  <c:v>93.904928970538393</c:v>
                </c:pt>
                <c:pt idx="371">
                  <c:v>92.703111643003822</c:v>
                </c:pt>
                <c:pt idx="372">
                  <c:v>91.490051341141779</c:v>
                </c:pt>
                <c:pt idx="373">
                  <c:v>90.265919955001934</c:v>
                </c:pt>
                <c:pt idx="374">
                  <c:v>89.03088183939829</c:v>
                </c:pt>
                <c:pt idx="375">
                  <c:v>87.785093674523296</c:v>
                </c:pt>
                <c:pt idx="376">
                  <c:v>86.528704384981282</c:v>
                </c:pt>
                <c:pt idx="377">
                  <c:v>85.26185511626835</c:v>
                </c:pt>
                <c:pt idx="378">
                  <c:v>83.984679267063768</c:v>
                </c:pt>
                <c:pt idx="379">
                  <c:v>82.697302575049207</c:v>
                </c:pt>
                <c:pt idx="380">
                  <c:v>81.399843253374357</c:v>
                </c:pt>
                <c:pt idx="381">
                  <c:v>80.092412174310013</c:v>
                </c:pt>
                <c:pt idx="382">
                  <c:v>78.775113096098693</c:v>
                </c:pt>
                <c:pt idx="383">
                  <c:v>77.448042928545107</c:v>
                </c:pt>
                <c:pt idx="384">
                  <c:v>76.111292032454145</c:v>
                </c:pt>
                <c:pt idx="385">
                  <c:v>74.764944547668975</c:v>
                </c:pt>
                <c:pt idx="386">
                  <c:v>73.409078744161633</c:v>
                </c:pt>
                <c:pt idx="387">
                  <c:v>72.043767390381802</c:v>
                </c:pt>
                <c:pt idx="388">
                  <c:v>70.669078132918926</c:v>
                </c:pt>
                <c:pt idx="389">
                  <c:v>69.285073881428019</c:v>
                </c:pt>
                <c:pt idx="390">
                  <c:v>67.891813192748188</c:v>
                </c:pt>
                <c:pt idx="391">
                  <c:v>66.489350648184086</c:v>
                </c:pt>
                <c:pt idx="392">
                  <c:v>65.077737218062126</c:v>
                </c:pt>
                <c:pt idx="393">
                  <c:v>63.657020607837012</c:v>
                </c:pt>
                <c:pt idx="394">
                  <c:v>62.227245580320542</c:v>
                </c:pt>
                <c:pt idx="395">
                  <c:v>60.788454248919372</c:v>
                </c:pt>
                <c:pt idx="396">
                  <c:v>59.34068633718293</c:v>
                </c:pt>
                <c:pt idx="397">
                  <c:v>57.883979400429922</c:v>
                </c:pt>
                <c:pt idx="398">
                  <c:v>56.418369005761143</c:v>
                </c:pt>
                <c:pt idx="399">
                  <c:v>54.9438888673481</c:v>
                </c:pt>
                <c:pt idx="400">
                  <c:v>53.460570934545238</c:v>
                </c:pt>
                <c:pt idx="401">
                  <c:v>51.968445431063429</c:v>
                </c:pt>
                <c:pt idx="402">
                  <c:v>50.467540844182807</c:v>
                </c:pt>
                <c:pt idx="403">
                  <c:v>48.957883863767208</c:v>
                </c:pt>
                <c:pt idx="404">
                  <c:v>47.439499271633835</c:v>
                </c:pt>
                <c:pt idx="405">
                  <c:v>45.912409782687142</c:v>
                </c:pt>
                <c:pt idx="406">
                  <c:v>44.376635840040841</c:v>
                </c:pt>
                <c:pt idx="407">
                  <c:v>42.832195367232451</c:v>
                </c:pt>
                <c:pt idx="408">
                  <c:v>41.279103481461405</c:v>
                </c:pt>
                <c:pt idx="409">
                  <c:v>39.717372172632111</c:v>
                </c:pt>
                <c:pt idx="410">
                  <c:v>38.147009953805131</c:v>
                </c:pt>
                <c:pt idx="411">
                  <c:v>36.568021489435409</c:v>
                </c:pt>
                <c:pt idx="412">
                  <c:v>34.980407208557807</c:v>
                </c:pt>
                <c:pt idx="413">
                  <c:v>33.384162910765774</c:v>
                </c:pt>
                <c:pt idx="414">
                  <c:v>31.779279373515635</c:v>
                </c:pt>
                <c:pt idx="415">
                  <c:v>30.165741969876535</c:v>
                </c:pt>
                <c:pt idx="416">
                  <c:v>28.543530306403348</c:v>
                </c:pt>
                <c:pt idx="417">
                  <c:v>26.912617891271172</c:v>
                </c:pt>
                <c:pt idx="418">
                  <c:v>25.272971843236675</c:v>
                </c:pt>
                <c:pt idx="419">
                  <c:v>23.624552652292813</c:v>
                </c:pt>
                <c:pt idx="420">
                  <c:v>21.96731400315748</c:v>
                </c:pt>
                <c:pt idx="421">
                  <c:v>20.301202672891812</c:v>
                </c:pt>
                <c:pt idx="422">
                  <c:v>18.626158514037058</c:v>
                </c:pt>
                <c:pt idx="423">
                  <c:v>16.94211453464408</c:v>
                </c:pt>
                <c:pt idx="424">
                  <c:v>15.248997086492146</c:v>
                </c:pt>
                <c:pt idx="425">
                  <c:v>13.546726172588766</c:v>
                </c:pt>
                <c:pt idx="426">
                  <c:v>11.83521588475962</c:v>
                </c:pt>
                <c:pt idx="427">
                  <c:v>10.114374981747972</c:v>
                </c:pt>
                <c:pt idx="428">
                  <c:v>8.384107617713342</c:v>
                </c:pt>
                <c:pt idx="429">
                  <c:v>6.6443142303856879</c:v>
                </c:pt>
                <c:pt idx="430">
                  <c:v>4.8948925973657822</c:v>
                </c:pt>
                <c:pt idx="431">
                  <c:v>3.1357390681005866</c:v>
                </c:pt>
                <c:pt idx="432">
                  <c:v>1.366749977982884</c:v>
                </c:pt>
                <c:pt idx="433">
                  <c:v>-0.41217675029770223</c:v>
                </c:pt>
                <c:pt idx="434">
                  <c:v>-2.2011398145173433</c:v>
                </c:pt>
                <c:pt idx="435">
                  <c:v>-4.0002325479158181</c:v>
                </c:pt>
                <c:pt idx="436">
                  <c:v>-5.8095407415620359</c:v>
                </c:pt>
                <c:pt idx="437">
                  <c:v>-7.6291402764874157</c:v>
                </c:pt>
                <c:pt idx="438">
                  <c:v>-9.4590945705914891</c:v>
                </c:pt>
                <c:pt idx="439">
                  <c:v>-11.299451848210868</c:v>
                </c:pt>
                <c:pt idx="440">
                  <c:v>-13.150242243469808</c:v>
                </c:pt>
                <c:pt idx="441">
                  <c:v>-15.011474752095623</c:v>
                </c:pt>
                <c:pt idx="442">
                  <c:v>-16.883134050228612</c:v>
                </c:pt>
                <c:pt idx="443">
                  <c:v>-18.765177202938968</c:v>
                </c:pt>
                <c:pt idx="444">
                  <c:v>-20.657530289576219</c:v>
                </c:pt>
                <c:pt idx="445">
                  <c:v>-22.560084977689517</c:v>
                </c:pt>
                <c:pt idx="446">
                  <c:v>-24.472695081995514</c:v>
                </c:pt>
                <c:pt idx="447">
                  <c:v>-26.395173149621225</c:v>
                </c:pt>
                <c:pt idx="448">
                  <c:v>-28.327287117486616</c:v>
                </c:pt>
                <c:pt idx="449">
                  <c:v>-30.26875709207145</c:v>
                </c:pt>
                <c:pt idx="450">
                  <c:v>-32.219252305760229</c:v>
                </c:pt>
                <c:pt idx="451">
                  <c:v>-34.178388307267035</c:v>
                </c:pt>
                <c:pt idx="452">
                  <c:v>-36.145724446144932</c:v>
                </c:pt>
                <c:pt idx="453">
                  <c:v>-38.120761712807791</c:v>
                </c:pt>
                <c:pt idx="454">
                  <c:v>-40.10294099567831</c:v>
                </c:pt>
                <c:pt idx="455">
                  <c:v>-42.091641815804103</c:v>
                </c:pt>
                <c:pt idx="456">
                  <c:v>-44.086181596348354</c:v>
                </c:pt>
                <c:pt idx="457">
                  <c:v>-46.085815519709307</c:v>
                </c:pt>
                <c:pt idx="458">
                  <c:v>-48.089737018457825</c:v>
                </c:pt>
                <c:pt idx="459">
                  <c:v>-50.097078937897976</c:v>
                </c:pt>
                <c:pt idx="460">
                  <c:v>-52.106915397835635</c:v>
                </c:pt>
                <c:pt idx="461">
                  <c:v>-54.118264369261652</c:v>
                </c:pt>
                <c:pt idx="462">
                  <c:v>-56.130090968358239</c:v>
                </c:pt>
                <c:pt idx="463">
                  <c:v>-58.14131145582823</c:v>
                </c:pt>
                <c:pt idx="464">
                  <c:v>-60.150797914438947</c:v>
                </c:pt>
                <c:pt idx="465">
                  <c:v>-62.157383562343142</c:v>
                </c:pt>
                <c:pt idx="466">
                  <c:v>-64.159868644721598</c:v>
                </c:pt>
                <c:pt idx="467">
                  <c:v>-66.15702683208724</c:v>
                </c:pt>
                <c:pt idx="468">
                  <c:v>-68.147612040825763</c:v>
                </c:pt>
                <c:pt idx="469">
                  <c:v>-70.1303655806542</c:v>
                </c:pt>
                <c:pt idx="470">
                  <c:v>-72.104023525161566</c:v>
                </c:pt>
                <c:pt idx="471">
                  <c:v>-74.067324195793958</c:v>
                </c:pt>
                <c:pt idx="472">
                  <c:v>-76.019015646806025</c:v>
                </c:pt>
                <c:pt idx="473">
                  <c:v>-77.957863038970117</c:v>
                </c:pt>
                <c:pt idx="474">
                  <c:v>-79.88265579315744</c:v>
                </c:pt>
                <c:pt idx="475">
                  <c:v>-81.792214421159613</c:v>
                </c:pt>
                <c:pt idx="476">
                  <c:v>-83.685396940048165</c:v>
                </c:pt>
                <c:pt idx="477">
                  <c:v>-85.561104787528294</c:v>
                </c:pt>
                <c:pt idx="478">
                  <c:v>-87.418288168741256</c:v>
                </c:pt>
                <c:pt idx="479">
                  <c:v>-89.255950779228385</c:v>
                </c:pt>
                <c:pt idx="480">
                  <c:v>-91.073153863763764</c:v>
                </c:pt>
                <c:pt idx="481">
                  <c:v>-92.869019585942141</c:v>
                </c:pt>
                <c:pt idx="482">
                  <c:v>-94.642733698262575</c:v>
                </c:pt>
                <c:pt idx="483">
                  <c:v>-96.393547516498501</c:v>
                </c:pt>
                <c:pt idx="484">
                  <c:v>-98.120779215034659</c:v>
                </c:pt>
                <c:pt idx="485">
                  <c:v>-99.823814471234016</c:v>
                </c:pt>
                <c:pt idx="486">
                  <c:v>-101.50210649659653</c:v>
                </c:pt>
                <c:pt idx="487">
                  <c:v>-103.15517550033502</c:v>
                </c:pt>
                <c:pt idx="488">
                  <c:v>-104.78260763698017</c:v>
                </c:pt>
                <c:pt idx="489">
                  <c:v>-106.38405349379687</c:v>
                </c:pt>
                <c:pt idx="490">
                  <c:v>-107.95922617619657</c:v>
                </c:pt>
                <c:pt idx="491">
                  <c:v>-109.50789905016407</c:v>
                </c:pt>
                <c:pt idx="492">
                  <c:v>-111.02990320012609</c:v>
                </c:pt>
                <c:pt idx="493">
                  <c:v>-112.52512465890142</c:v>
                </c:pt>
                <c:pt idx="494">
                  <c:v>-113.99350146359278</c:v>
                </c:pt>
                <c:pt idx="495">
                  <c:v>-115.43502058773151</c:v>
                </c:pt>
                <c:pt idx="496">
                  <c:v>-116.849714795879</c:v>
                </c:pt>
                <c:pt idx="497">
                  <c:v>-118.23765946239891</c:v>
                </c:pt>
                <c:pt idx="498">
                  <c:v>-119.59896939143363</c:v>
                </c:pt>
                <c:pt idx="499">
                  <c:v>-120.93379567038406</c:v>
                </c:pt>
                <c:pt idx="500">
                  <c:v>-122.2423225845253</c:v>
                </c:pt>
                <c:pt idx="501">
                  <c:v>-123.52476461590811</c:v>
                </c:pt>
                <c:pt idx="502">
                  <c:v>-124.78136354544691</c:v>
                </c:pt>
                <c:pt idx="503">
                  <c:v>-126.01238567317009</c:v>
                </c:pt>
                <c:pt idx="504">
                  <c:v>-127.21811916801109</c:v>
                </c:pt>
                <c:pt idx="505">
                  <c:v>-128.3988715552882</c:v>
                </c:pt>
                <c:pt idx="506">
                  <c:v>-129.55496734717235</c:v>
                </c:pt>
                <c:pt idx="507">
                  <c:v>-130.68674581893114</c:v>
                </c:pt>
                <c:pt idx="508">
                  <c:v>-131.79455893161753</c:v>
                </c:pt>
                <c:pt idx="509">
                  <c:v>-132.87876940004287</c:v>
                </c:pt>
                <c:pt idx="510">
                  <c:v>-133.93974890339237</c:v>
                </c:pt>
                <c:pt idx="511">
                  <c:v>-134.97787643462419</c:v>
                </c:pt>
                <c:pt idx="512">
                  <c:v>-135.99353678381848</c:v>
                </c:pt>
                <c:pt idx="513">
                  <c:v>-136.98711914993376</c:v>
                </c:pt>
                <c:pt idx="514">
                  <c:v>-137.95901587487731</c:v>
                </c:pt>
                <c:pt idx="515">
                  <c:v>-138.90962129343498</c:v>
                </c:pt>
                <c:pt idx="516">
                  <c:v>-139.83933069239959</c:v>
                </c:pt>
                <c:pt idx="517">
                  <c:v>-140.74853937214036</c:v>
                </c:pt>
                <c:pt idx="518">
                  <c:v>-141.63764180386178</c:v>
                </c:pt>
                <c:pt idx="519">
                  <c:v>-142.50703087590745</c:v>
                </c:pt>
                <c:pt idx="520">
                  <c:v>-143.35709722261302</c:v>
                </c:pt>
                <c:pt idx="521">
                  <c:v>-144.18822862943523</c:v>
                </c:pt>
                <c:pt idx="522">
                  <c:v>-145.0008095083314</c:v>
                </c:pt>
                <c:pt idx="523">
                  <c:v>-145.79522043764715</c:v>
                </c:pt>
                <c:pt idx="524">
                  <c:v>-146.57183776107127</c:v>
                </c:pt>
                <c:pt idx="525">
                  <c:v>-147.33103324051928</c:v>
                </c:pt>
                <c:pt idx="526">
                  <c:v>-148.07317375813713</c:v>
                </c:pt>
                <c:pt idx="527">
                  <c:v>-148.79862106292177</c:v>
                </c:pt>
                <c:pt idx="528">
                  <c:v>-149.50773155776236</c:v>
                </c:pt>
                <c:pt idx="529">
                  <c:v>-150.20085612302867</c:v>
                </c:pt>
                <c:pt idx="530">
                  <c:v>-150.87833997309338</c:v>
                </c:pt>
                <c:pt idx="531">
                  <c:v>-151.54052254249163</c:v>
                </c:pt>
                <c:pt idx="532">
                  <c:v>-152.1877373986554</c:v>
                </c:pt>
                <c:pt idx="533">
                  <c:v>-152.82031217844002</c:v>
                </c:pt>
                <c:pt idx="534">
                  <c:v>-153.43856854586966</c:v>
                </c:pt>
                <c:pt idx="535">
                  <c:v>-154.04282216878158</c:v>
                </c:pt>
                <c:pt idx="536">
                  <c:v>-154.63338271222761</c:v>
                </c:pt>
                <c:pt idx="537">
                  <c:v>-155.21055384670777</c:v>
                </c:pt>
                <c:pt idx="538">
                  <c:v>-155.77463326947344</c:v>
                </c:pt>
                <c:pt idx="539">
                  <c:v>-156.32591273731194</c:v>
                </c:pt>
                <c:pt idx="540">
                  <c:v>-156.86467810937319</c:v>
                </c:pt>
                <c:pt idx="541">
                  <c:v>-157.39120939873811</c:v>
                </c:pt>
              </c:numCache>
            </c:numRef>
          </c:yVal>
          <c:smooth val="1"/>
          <c:extLst>
            <c:ext xmlns:c16="http://schemas.microsoft.com/office/drawing/2014/chart" uri="{C3380CC4-5D6E-409C-BE32-E72D297353CC}">
              <c16:uniqueId val="{00000001-8173-45EB-83AD-B179A66292B6}"/>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39.605233997823277</c:v>
                </c:pt>
                <c:pt idx="2">
                  <c:v>56.300567073946027</c:v>
                </c:pt>
                <c:pt idx="3">
                  <c:v>65.499857597212269</c:v>
                </c:pt>
                <c:pt idx="4">
                  <c:v>71.322600980761948</c:v>
                </c:pt>
                <c:pt idx="5">
                  <c:v>75.337109292835365</c:v>
                </c:pt>
                <c:pt idx="6">
                  <c:v>78.270658931662496</c:v>
                </c:pt>
                <c:pt idx="7">
                  <c:v>80.506617955972743</c:v>
                </c:pt>
                <c:pt idx="8">
                  <c:v>82.266235877461341</c:v>
                </c:pt>
                <c:pt idx="9">
                  <c:v>83.686145919538035</c:v>
                </c:pt>
                <c:pt idx="10">
                  <c:v>84.855286481326146</c:v>
                </c:pt>
                <c:pt idx="11">
                  <c:v>85.834041916091294</c:v>
                </c:pt>
                <c:pt idx="12">
                  <c:v>86.664850354494575</c:v>
                </c:pt>
                <c:pt idx="13">
                  <c:v>87.378409623702495</c:v>
                </c:pt>
                <c:pt idx="14">
                  <c:v>87.997474497114126</c:v>
                </c:pt>
                <c:pt idx="15">
                  <c:v>88.539269682657135</c:v>
                </c:pt>
                <c:pt idx="16">
                  <c:v>89.01707355591239</c:v>
                </c:pt>
                <c:pt idx="17">
                  <c:v>89.441287107970695</c:v>
                </c:pt>
                <c:pt idx="18">
                  <c:v>89.820173292510859</c:v>
                </c:pt>
                <c:pt idx="19">
                  <c:v>90.160379544491732</c:v>
                </c:pt>
                <c:pt idx="20">
                  <c:v>90.467314200771426</c:v>
                </c:pt>
                <c:pt idx="21">
                  <c:v>90.745422358452785</c:v>
                </c:pt>
                <c:pt idx="22">
                  <c:v>90.998391178083054</c:v>
                </c:pt>
                <c:pt idx="23">
                  <c:v>91.229304824148855</c:v>
                </c:pt>
                <c:pt idx="24">
                  <c:v>91.440762890210337</c:v>
                </c:pt>
                <c:pt idx="25">
                  <c:v>91.634971969204187</c:v>
                </c:pt>
                <c:pt idx="26">
                  <c:v>91.813817214908255</c:v>
                </c:pt>
                <c:pt idx="27">
                  <c:v>91.97891881610704</c:v>
                </c:pt>
                <c:pt idx="28">
                  <c:v>92.131676968482878</c:v>
                </c:pt>
                <c:pt idx="29">
                  <c:v>92.273307987656366</c:v>
                </c:pt>
                <c:pt idx="30">
                  <c:v>92.404873534578172</c:v>
                </c:pt>
                <c:pt idx="31">
                  <c:v>92.527304438641295</c:v>
                </c:pt>
                <c:pt idx="32">
                  <c:v>92.641420248733112</c:v>
                </c:pt>
                <c:pt idx="33">
                  <c:v>92.747945380054801</c:v>
                </c:pt>
                <c:pt idx="34">
                  <c:v>92.847522528741663</c:v>
                </c:pt>
                <c:pt idx="35">
                  <c:v>92.940723878858179</c:v>
                </c:pt>
                <c:pt idx="36">
                  <c:v>93.028060514309047</c:v>
                </c:pt>
                <c:pt idx="37">
                  <c:v>93.109990362393518</c:v>
                </c:pt>
                <c:pt idx="38">
                  <c:v>93.186924929488896</c:v>
                </c:pt>
                <c:pt idx="39">
                  <c:v>93.259235037842487</c:v>
                </c:pt>
                <c:pt idx="40">
                  <c:v>93.327255732126929</c:v>
                </c:pt>
                <c:pt idx="41">
                  <c:v>93.391290492635747</c:v>
                </c:pt>
                <c:pt idx="42">
                  <c:v>93.451614866799503</c:v>
                </c:pt>
                <c:pt idx="43">
                  <c:v>93.508479610607495</c:v>
                </c:pt>
                <c:pt idx="44">
                  <c:v>93.562113415401839</c:v>
                </c:pt>
                <c:pt idx="45">
                  <c:v>93.612725282516379</c:v>
                </c:pt>
                <c:pt idx="46">
                  <c:v>93.660506597701882</c:v>
                </c:pt>
                <c:pt idx="47">
                  <c:v>93.705632948703936</c:v>
                </c:pt>
                <c:pt idx="48">
                  <c:v>93.748265722345337</c:v>
                </c:pt>
                <c:pt idx="49">
                  <c:v>93.788553511702048</c:v>
                </c:pt>
                <c:pt idx="50">
                  <c:v>93.826633359205474</c:v>
                </c:pt>
                <c:pt idx="51">
                  <c:v>93.862631857564665</c:v>
                </c:pt>
                <c:pt idx="52">
                  <c:v>93.896666127125812</c:v>
                </c:pt>
                <c:pt idx="53">
                  <c:v>93.928844685551709</c:v>
                </c:pt>
                <c:pt idx="54">
                  <c:v>93.959268223411769</c:v>
                </c:pt>
                <c:pt idx="55">
                  <c:v>93.988030297349127</c:v>
                </c:pt>
                <c:pt idx="56">
                  <c:v>94.015217950865122</c:v>
                </c:pt>
                <c:pt idx="57">
                  <c:v>94.040912271389288</c:v>
                </c:pt>
                <c:pt idx="58">
                  <c:v>94.065188891135108</c:v>
                </c:pt>
                <c:pt idx="59">
                  <c:v>94.088118438250675</c:v>
                </c:pt>
                <c:pt idx="60">
                  <c:v>94.10976694392501</c:v>
                </c:pt>
                <c:pt idx="61">
                  <c:v>94.130196210386742</c:v>
                </c:pt>
                <c:pt idx="62">
                  <c:v>94.149464144108492</c:v>
                </c:pt>
                <c:pt idx="63">
                  <c:v>94.167625057996034</c:v>
                </c:pt>
                <c:pt idx="64">
                  <c:v>94.184729945878573</c:v>
                </c:pt>
                <c:pt idx="65">
                  <c:v>94.200826732217436</c:v>
                </c:pt>
                <c:pt idx="66">
                  <c:v>94.215960499605316</c:v>
                </c:pt>
                <c:pt idx="67">
                  <c:v>94.230173696326446</c:v>
                </c:pt>
                <c:pt idx="68">
                  <c:v>94.243506325987198</c:v>
                </c:pt>
                <c:pt idx="69">
                  <c:v>94.255996120998759</c:v>
                </c:pt>
                <c:pt idx="70">
                  <c:v>94.267678701493267</c:v>
                </c:pt>
                <c:pt idx="71">
                  <c:v>94.278587721080953</c:v>
                </c:pt>
                <c:pt idx="72">
                  <c:v>94.288755000701897</c:v>
                </c:pt>
                <c:pt idx="73">
                  <c:v>94.298210651692088</c:v>
                </c:pt>
                <c:pt idx="74">
                  <c:v>94.306983189063814</c:v>
                </c:pt>
                <c:pt idx="75">
                  <c:v>94.3150996358969</c:v>
                </c:pt>
                <c:pt idx="76">
                  <c:v>94.322585619643277</c:v>
                </c:pt>
                <c:pt idx="77">
                  <c:v>94.329465461067286</c:v>
                </c:pt>
                <c:pt idx="78">
                  <c:v>94.335762256469863</c:v>
                </c:pt>
                <c:pt idx="79">
                  <c:v>94.341497953780944</c:v>
                </c:pt>
                <c:pt idx="80">
                  <c:v>94.346693423047483</c:v>
                </c:pt>
                <c:pt idx="81">
                  <c:v>94.351368521792182</c:v>
                </c:pt>
                <c:pt idx="82">
                  <c:v>94.35554215567366</c:v>
                </c:pt>
                <c:pt idx="83">
                  <c:v>94.35923233483733</c:v>
                </c:pt>
                <c:pt idx="84">
                  <c:v>94.362456226309718</c:v>
                </c:pt>
                <c:pt idx="85">
                  <c:v>94.365230202757076</c:v>
                </c:pt>
                <c:pt idx="86">
                  <c:v>94.367569887898668</c:v>
                </c:pt>
                <c:pt idx="87">
                  <c:v>94.369490198839983</c:v>
                </c:pt>
                <c:pt idx="88">
                  <c:v>94.371005385566562</c:v>
                </c:pt>
                <c:pt idx="89">
                  <c:v>94.372129067818292</c:v>
                </c:pt>
                <c:pt idx="90">
                  <c:v>94.37287426954461</c:v>
                </c:pt>
                <c:pt idx="91">
                  <c:v>94.373253451123816</c:v>
                </c:pt>
                <c:pt idx="92">
                  <c:v>94.373278539513876</c:v>
                </c:pt>
                <c:pt idx="93">
                  <c:v>94.372960956488086</c:v>
                </c:pt>
                <c:pt idx="94">
                  <c:v>94.372311645096062</c:v>
                </c:pt>
                <c:pt idx="95">
                  <c:v>94.371341094478694</c:v>
                </c:pt>
                <c:pt idx="96">
                  <c:v>94.370059363155363</c:v>
                </c:pt>
                <c:pt idx="97">
                  <c:v>94.36847610089221</c:v>
                </c:pt>
                <c:pt idx="98">
                  <c:v>94.36660056925102</c:v>
                </c:pt>
                <c:pt idx="99">
                  <c:v>94.36444166091087</c:v>
                </c:pt>
                <c:pt idx="100">
                  <c:v>94.362007917847137</c:v>
                </c:pt>
                <c:pt idx="101">
                  <c:v>94.359307548445912</c:v>
                </c:pt>
                <c:pt idx="102">
                  <c:v>94.35634844362599</c:v>
                </c:pt>
                <c:pt idx="103">
                  <c:v>94.353138192034677</c:v>
                </c:pt>
                <c:pt idx="104">
                  <c:v>94.349684094379128</c:v>
                </c:pt>
                <c:pt idx="105">
                  <c:v>94.345993176950032</c:v>
                </c:pt>
                <c:pt idx="106">
                  <c:v>94.342072204390035</c:v>
                </c:pt>
                <c:pt idx="107">
                  <c:v>94.337927691755993</c:v>
                </c:pt>
                <c:pt idx="108">
                  <c:v>94.33356591591992</c:v>
                </c:pt>
                <c:pt idx="109">
                  <c:v>94.328992926350608</c:v>
                </c:pt>
                <c:pt idx="110">
                  <c:v>94.32421455531501</c:v>
                </c:pt>
                <c:pt idx="111">
                  <c:v>94.319236427535245</c:v>
                </c:pt>
                <c:pt idx="112">
                  <c:v>94.314063969334867</c:v>
                </c:pt>
                <c:pt idx="113">
                  <c:v>94.308702417305881</c:v>
                </c:pt>
                <c:pt idx="114">
                  <c:v>94.303156826525068</c:v>
                </c:pt>
                <c:pt idx="115">
                  <c:v>94.297432078347285</c:v>
                </c:pt>
                <c:pt idx="116">
                  <c:v>94.291532887800543</c:v>
                </c:pt>
                <c:pt idx="117">
                  <c:v>94.285463810606416</c:v>
                </c:pt>
                <c:pt idx="118">
                  <c:v>94.279229249848143</c:v>
                </c:pt>
                <c:pt idx="119">
                  <c:v>94.27283346230621</c:v>
                </c:pt>
                <c:pt idx="120">
                  <c:v>94.266280564481306</c:v>
                </c:pt>
                <c:pt idx="121">
                  <c:v>94.259574538321957</c:v>
                </c:pt>
                <c:pt idx="122">
                  <c:v>94.252719236673812</c:v>
                </c:pt>
                <c:pt idx="123">
                  <c:v>94.245718388466386</c:v>
                </c:pt>
                <c:pt idx="124">
                  <c:v>94.238575603651654</c:v>
                </c:pt>
                <c:pt idx="125">
                  <c:v>94.231294377908199</c:v>
                </c:pt>
                <c:pt idx="126">
                  <c:v>94.223878097124128</c:v>
                </c:pt>
                <c:pt idx="127">
                  <c:v>94.21633004167056</c:v>
                </c:pt>
                <c:pt idx="128">
                  <c:v>94.208653390476854</c:v>
                </c:pt>
                <c:pt idx="129">
                  <c:v>94.20085122491875</c:v>
                </c:pt>
                <c:pt idx="130">
                  <c:v>94.192926532528674</c:v>
                </c:pt>
                <c:pt idx="131">
                  <c:v>94.184882210538319</c:v>
                </c:pt>
                <c:pt idx="132">
                  <c:v>94.176721069261717</c:v>
                </c:pt>
                <c:pt idx="133">
                  <c:v>94.168445835327447</c:v>
                </c:pt>
                <c:pt idx="134">
                  <c:v>94.160059154767666</c:v>
                </c:pt>
                <c:pt idx="135">
                  <c:v>94.151563595971368</c:v>
                </c:pt>
                <c:pt idx="136">
                  <c:v>94.142961652508589</c:v>
                </c:pt>
                <c:pt idx="137">
                  <c:v>94.134255745832419</c:v>
                </c:pt>
                <c:pt idx="138">
                  <c:v>94.125448227864567</c:v>
                </c:pt>
                <c:pt idx="139">
                  <c:v>94.116541383470647</c:v>
                </c:pt>
                <c:pt idx="140">
                  <c:v>94.107537432830384</c:v>
                </c:pt>
                <c:pt idx="141">
                  <c:v>94.098438533708034</c:v>
                </c:pt>
                <c:pt idx="142">
                  <c:v>94.089246783627772</c:v>
                </c:pt>
                <c:pt idx="143">
                  <c:v>94.079964221958818</c:v>
                </c:pt>
                <c:pt idx="144">
                  <c:v>94.070592831914553</c:v>
                </c:pt>
                <c:pt idx="145">
                  <c:v>94.061134542469588</c:v>
                </c:pt>
                <c:pt idx="146">
                  <c:v>94.05159123019908</c:v>
                </c:pt>
                <c:pt idx="147">
                  <c:v>94.041964721043485</c:v>
                </c:pt>
                <c:pt idx="148">
                  <c:v>94.032256792002556</c:v>
                </c:pt>
                <c:pt idx="149">
                  <c:v>94.022469172761831</c:v>
                </c:pt>
                <c:pt idx="150">
                  <c:v>94.012603547254557</c:v>
                </c:pt>
              </c:numCache>
            </c:numRef>
          </c:yVal>
          <c:smooth val="0"/>
          <c:extLst>
            <c:ext xmlns:c16="http://schemas.microsoft.com/office/drawing/2014/chart" uri="{C3380CC4-5D6E-409C-BE32-E72D297353CC}">
              <c16:uniqueId val="{00000000-50A0-4BAE-A18F-D1A285C4A90E}"/>
            </c:ext>
          </c:extLst>
        </c:ser>
        <c:dLbls>
          <c:showLegendKey val="0"/>
          <c:showVal val="0"/>
          <c:showCatName val="0"/>
          <c:showSerName val="0"/>
          <c:showPercent val="0"/>
          <c:showBubbleSize val="0"/>
        </c:dLbls>
        <c:axId val="555642880"/>
        <c:axId val="555644416"/>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6.4353984069163761E-2</c:v>
                </c:pt>
                <c:pt idx="2">
                  <c:v>0.11996207025341152</c:v>
                </c:pt>
                <c:pt idx="3">
                  <c:v>0.1758106853632791</c:v>
                </c:pt>
                <c:pt idx="4">
                  <c:v>0.23189982939876655</c:v>
                </c:pt>
                <c:pt idx="5">
                  <c:v>0.28822950235987377</c:v>
                </c:pt>
                <c:pt idx="6">
                  <c:v>0.34479970424660084</c:v>
                </c:pt>
                <c:pt idx="7">
                  <c:v>0.40161043505894795</c:v>
                </c:pt>
                <c:pt idx="8">
                  <c:v>0.4586616947969146</c:v>
                </c:pt>
                <c:pt idx="9">
                  <c:v>0.51595348346050118</c:v>
                </c:pt>
                <c:pt idx="10">
                  <c:v>0.57348580104970759</c:v>
                </c:pt>
                <c:pt idx="11">
                  <c:v>0.63125864756453398</c:v>
                </c:pt>
                <c:pt idx="12">
                  <c:v>0.68927202300497992</c:v>
                </c:pt>
                <c:pt idx="13">
                  <c:v>0.74752592737104606</c:v>
                </c:pt>
                <c:pt idx="14">
                  <c:v>0.80602036066273186</c:v>
                </c:pt>
                <c:pt idx="15">
                  <c:v>0.86475532288003731</c:v>
                </c:pt>
                <c:pt idx="16">
                  <c:v>0.92373081402296275</c:v>
                </c:pt>
                <c:pt idx="17">
                  <c:v>0.98294683409150818</c:v>
                </c:pt>
                <c:pt idx="18">
                  <c:v>1.0424033830856732</c:v>
                </c:pt>
                <c:pt idx="19">
                  <c:v>1.1021004610054583</c:v>
                </c:pt>
                <c:pt idx="20">
                  <c:v>1.1620380678508628</c:v>
                </c:pt>
                <c:pt idx="21">
                  <c:v>1.2222162036218873</c:v>
                </c:pt>
                <c:pt idx="22">
                  <c:v>1.282634868318532</c:v>
                </c:pt>
                <c:pt idx="23">
                  <c:v>1.3432940619407963</c:v>
                </c:pt>
                <c:pt idx="24">
                  <c:v>1.4041937844886803</c:v>
                </c:pt>
                <c:pt idx="25">
                  <c:v>1.4653340359621843</c:v>
                </c:pt>
                <c:pt idx="26">
                  <c:v>1.5267148163613082</c:v>
                </c:pt>
                <c:pt idx="27">
                  <c:v>1.5883361256860518</c:v>
                </c:pt>
                <c:pt idx="28">
                  <c:v>1.6501979639364157</c:v>
                </c:pt>
                <c:pt idx="29">
                  <c:v>1.7123003311123983</c:v>
                </c:pt>
                <c:pt idx="30">
                  <c:v>1.7746432272140018</c:v>
                </c:pt>
                <c:pt idx="31">
                  <c:v>1.8372266522412246</c:v>
                </c:pt>
                <c:pt idx="32">
                  <c:v>1.9000506061940674</c:v>
                </c:pt>
                <c:pt idx="33">
                  <c:v>1.96311508907253</c:v>
                </c:pt>
                <c:pt idx="34">
                  <c:v>2.0264201008766127</c:v>
                </c:pt>
                <c:pt idx="35">
                  <c:v>2.089965641606315</c:v>
                </c:pt>
                <c:pt idx="36">
                  <c:v>2.1537517112616369</c:v>
                </c:pt>
                <c:pt idx="37">
                  <c:v>2.2177783098425787</c:v>
                </c:pt>
                <c:pt idx="38">
                  <c:v>2.282045437349141</c:v>
                </c:pt>
                <c:pt idx="39">
                  <c:v>2.3465530937813224</c:v>
                </c:pt>
                <c:pt idx="40">
                  <c:v>2.4113012791391237</c:v>
                </c:pt>
                <c:pt idx="41">
                  <c:v>2.4762899934225455</c:v>
                </c:pt>
                <c:pt idx="42">
                  <c:v>2.541519236631586</c:v>
                </c:pt>
                <c:pt idx="43">
                  <c:v>2.6069890087662473</c:v>
                </c:pt>
                <c:pt idx="44">
                  <c:v>2.6726993098265281</c:v>
                </c:pt>
                <c:pt idx="45">
                  <c:v>2.7386501398124281</c:v>
                </c:pt>
                <c:pt idx="46">
                  <c:v>2.8048414987239489</c:v>
                </c:pt>
                <c:pt idx="47">
                  <c:v>2.8712733865610898</c:v>
                </c:pt>
                <c:pt idx="48">
                  <c:v>2.9379458033238492</c:v>
                </c:pt>
                <c:pt idx="49">
                  <c:v>3.0048587490122292</c:v>
                </c:pt>
                <c:pt idx="50">
                  <c:v>3.0720122236262291</c:v>
                </c:pt>
                <c:pt idx="51">
                  <c:v>3.1394062271658489</c:v>
                </c:pt>
                <c:pt idx="52">
                  <c:v>3.2070407596310893</c:v>
                </c:pt>
                <c:pt idx="53">
                  <c:v>3.2749158210219478</c:v>
                </c:pt>
                <c:pt idx="54">
                  <c:v>3.3430314113384272</c:v>
                </c:pt>
                <c:pt idx="55">
                  <c:v>3.4113875305805261</c:v>
                </c:pt>
                <c:pt idx="56">
                  <c:v>3.4799841787482455</c:v>
                </c:pt>
                <c:pt idx="57">
                  <c:v>3.5488213558415844</c:v>
                </c:pt>
                <c:pt idx="58">
                  <c:v>3.6178990618605416</c:v>
                </c:pt>
                <c:pt idx="59">
                  <c:v>3.68721729680512</c:v>
                </c:pt>
                <c:pt idx="60">
                  <c:v>3.7567760606753189</c:v>
                </c:pt>
                <c:pt idx="61">
                  <c:v>3.826575353471136</c:v>
                </c:pt>
                <c:pt idx="62">
                  <c:v>3.8966151751925744</c:v>
                </c:pt>
                <c:pt idx="63">
                  <c:v>3.9668955258396323</c:v>
                </c:pt>
                <c:pt idx="64">
                  <c:v>4.0374164054123094</c:v>
                </c:pt>
                <c:pt idx="65">
                  <c:v>4.108177813910606</c:v>
                </c:pt>
                <c:pt idx="66">
                  <c:v>4.1791797513345239</c:v>
                </c:pt>
                <c:pt idx="67">
                  <c:v>4.2504222176840605</c:v>
                </c:pt>
                <c:pt idx="68">
                  <c:v>4.3219052129592184</c:v>
                </c:pt>
                <c:pt idx="69">
                  <c:v>4.3936287371599949</c:v>
                </c:pt>
                <c:pt idx="70">
                  <c:v>4.4655927902863919</c:v>
                </c:pt>
                <c:pt idx="71">
                  <c:v>4.5377973723384075</c:v>
                </c:pt>
                <c:pt idx="72">
                  <c:v>4.6102424833160436</c:v>
                </c:pt>
                <c:pt idx="73">
                  <c:v>4.6829281232192992</c:v>
                </c:pt>
                <c:pt idx="74">
                  <c:v>4.7558542920481752</c:v>
                </c:pt>
                <c:pt idx="75">
                  <c:v>4.8290209898026717</c:v>
                </c:pt>
                <c:pt idx="76">
                  <c:v>4.9024282164827877</c:v>
                </c:pt>
                <c:pt idx="77">
                  <c:v>4.9760759720885233</c:v>
                </c:pt>
                <c:pt idx="78">
                  <c:v>5.0499642566198775</c:v>
                </c:pt>
                <c:pt idx="79">
                  <c:v>5.1240930700768521</c:v>
                </c:pt>
                <c:pt idx="80">
                  <c:v>5.1984624124594472</c:v>
                </c:pt>
                <c:pt idx="81">
                  <c:v>5.2730722837676609</c:v>
                </c:pt>
                <c:pt idx="82">
                  <c:v>5.3479226840014968</c:v>
                </c:pt>
                <c:pt idx="83">
                  <c:v>5.4230136131609505</c:v>
                </c:pt>
                <c:pt idx="84">
                  <c:v>5.4983450712460238</c:v>
                </c:pt>
                <c:pt idx="85">
                  <c:v>5.5739170582567183</c:v>
                </c:pt>
                <c:pt idx="86">
                  <c:v>5.6497295741930333</c:v>
                </c:pt>
                <c:pt idx="87">
                  <c:v>5.7257826190549661</c:v>
                </c:pt>
                <c:pt idx="88">
                  <c:v>5.8020761928425211</c:v>
                </c:pt>
                <c:pt idx="89">
                  <c:v>5.8786102955556938</c:v>
                </c:pt>
                <c:pt idx="90">
                  <c:v>5.9553849271944861</c:v>
                </c:pt>
                <c:pt idx="91">
                  <c:v>6.0324000877588997</c:v>
                </c:pt>
                <c:pt idx="92">
                  <c:v>6.1096557772489328</c:v>
                </c:pt>
                <c:pt idx="93">
                  <c:v>6.1871519956645855</c:v>
                </c:pt>
                <c:pt idx="94">
                  <c:v>6.2648887430058586</c:v>
                </c:pt>
                <c:pt idx="95">
                  <c:v>6.3428660192727513</c:v>
                </c:pt>
                <c:pt idx="96">
                  <c:v>6.4210838244652617</c:v>
                </c:pt>
                <c:pt idx="97">
                  <c:v>6.4995421585833943</c:v>
                </c:pt>
                <c:pt idx="98">
                  <c:v>6.5782410216271456</c:v>
                </c:pt>
                <c:pt idx="99">
                  <c:v>6.6571804135965174</c:v>
                </c:pt>
                <c:pt idx="100">
                  <c:v>6.7363603344915095</c:v>
                </c:pt>
                <c:pt idx="101">
                  <c:v>6.8157807843121221</c:v>
                </c:pt>
                <c:pt idx="102">
                  <c:v>6.8954417630583524</c:v>
                </c:pt>
                <c:pt idx="103">
                  <c:v>6.9753432707302032</c:v>
                </c:pt>
                <c:pt idx="104">
                  <c:v>7.0554853073276753</c:v>
                </c:pt>
                <c:pt idx="105">
                  <c:v>7.1358678728507652</c:v>
                </c:pt>
                <c:pt idx="106">
                  <c:v>7.2164909672994746</c:v>
                </c:pt>
                <c:pt idx="107">
                  <c:v>7.2973545906738053</c:v>
                </c:pt>
                <c:pt idx="108">
                  <c:v>7.3784587429737565</c:v>
                </c:pt>
                <c:pt idx="109">
                  <c:v>7.4598034241993263</c:v>
                </c:pt>
                <c:pt idx="110">
                  <c:v>7.5413886343505165</c:v>
                </c:pt>
                <c:pt idx="111">
                  <c:v>7.6232143734273263</c:v>
                </c:pt>
                <c:pt idx="112">
                  <c:v>7.7052806414297574</c:v>
                </c:pt>
                <c:pt idx="113">
                  <c:v>7.7875874383578054</c:v>
                </c:pt>
                <c:pt idx="114">
                  <c:v>7.8701347642114765</c:v>
                </c:pt>
                <c:pt idx="115">
                  <c:v>7.9529226189907645</c:v>
                </c:pt>
                <c:pt idx="116">
                  <c:v>8.0359510026956702</c:v>
                </c:pt>
                <c:pt idx="117">
                  <c:v>8.1192199153261999</c:v>
                </c:pt>
                <c:pt idx="118">
                  <c:v>8.2027293568823492</c:v>
                </c:pt>
                <c:pt idx="119">
                  <c:v>8.286479327364118</c:v>
                </c:pt>
                <c:pt idx="120">
                  <c:v>8.3704698267715063</c:v>
                </c:pt>
                <c:pt idx="121">
                  <c:v>8.4547008551045124</c:v>
                </c:pt>
                <c:pt idx="122">
                  <c:v>8.5391724123631416</c:v>
                </c:pt>
                <c:pt idx="123">
                  <c:v>8.6238844985473868</c:v>
                </c:pt>
                <c:pt idx="124">
                  <c:v>8.7088371136572569</c:v>
                </c:pt>
                <c:pt idx="125">
                  <c:v>8.7940302576927429</c:v>
                </c:pt>
                <c:pt idx="126">
                  <c:v>8.8794639306538521</c:v>
                </c:pt>
                <c:pt idx="127">
                  <c:v>8.965138132540579</c:v>
                </c:pt>
                <c:pt idx="128">
                  <c:v>9.0510528633529255</c:v>
                </c:pt>
                <c:pt idx="129">
                  <c:v>9.1372081230908933</c:v>
                </c:pt>
                <c:pt idx="130">
                  <c:v>9.2236039117544788</c:v>
                </c:pt>
                <c:pt idx="131">
                  <c:v>9.3102402293436857</c:v>
                </c:pt>
                <c:pt idx="132">
                  <c:v>9.3971170758585121</c:v>
                </c:pt>
                <c:pt idx="133">
                  <c:v>9.484234451298958</c:v>
                </c:pt>
                <c:pt idx="134">
                  <c:v>9.5715923556650235</c:v>
                </c:pt>
                <c:pt idx="135">
                  <c:v>9.6591907889567103</c:v>
                </c:pt>
                <c:pt idx="136">
                  <c:v>9.7470297511740167</c:v>
                </c:pt>
                <c:pt idx="137">
                  <c:v>9.8351092423169408</c:v>
                </c:pt>
                <c:pt idx="138">
                  <c:v>9.9234292623854863</c:v>
                </c:pt>
                <c:pt idx="139">
                  <c:v>10.011989811379653</c:v>
                </c:pt>
                <c:pt idx="140">
                  <c:v>10.100790889299438</c:v>
                </c:pt>
                <c:pt idx="141">
                  <c:v>10.189832496144842</c:v>
                </c:pt>
                <c:pt idx="142">
                  <c:v>10.279114631915865</c:v>
                </c:pt>
                <c:pt idx="143">
                  <c:v>10.36863729661251</c:v>
                </c:pt>
                <c:pt idx="144">
                  <c:v>10.458400490234773</c:v>
                </c:pt>
                <c:pt idx="145">
                  <c:v>10.548404212782659</c:v>
                </c:pt>
                <c:pt idx="146">
                  <c:v>10.638648464256162</c:v>
                </c:pt>
                <c:pt idx="147">
                  <c:v>10.729133244655285</c:v>
                </c:pt>
                <c:pt idx="148">
                  <c:v>10.81985855398003</c:v>
                </c:pt>
                <c:pt idx="149">
                  <c:v>10.910824392230392</c:v>
                </c:pt>
                <c:pt idx="150">
                  <c:v>11.002030759406377</c:v>
                </c:pt>
              </c:numCache>
            </c:numRef>
          </c:yVal>
          <c:smooth val="1"/>
          <c:extLst>
            <c:ext xmlns:c16="http://schemas.microsoft.com/office/drawing/2014/chart" uri="{C3380CC4-5D6E-409C-BE32-E72D297353CC}">
              <c16:uniqueId val="{00000001-50A0-4BAE-A18F-D1A285C4A90E}"/>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3.727916973194078E-2</c:v>
                </c:pt>
                <c:pt idx="1">
                  <c:v>3.96448424592135E-2</c:v>
                </c:pt>
                <c:pt idx="2">
                  <c:v>4.2072769731940775E-2</c:v>
                </c:pt>
                <c:pt idx="3">
                  <c:v>4.456295155012259E-2</c:v>
                </c:pt>
                <c:pt idx="4">
                  <c:v>4.7115387913758959E-2</c:v>
                </c:pt>
                <c:pt idx="5">
                  <c:v>4.9730078822849869E-2</c:v>
                </c:pt>
                <c:pt idx="6">
                  <c:v>5.2407024277395325E-2</c:v>
                </c:pt>
                <c:pt idx="7">
                  <c:v>5.5146224277395323E-2</c:v>
                </c:pt>
                <c:pt idx="8">
                  <c:v>5.7947678822849867E-2</c:v>
                </c:pt>
                <c:pt idx="9">
                  <c:v>6.0811387913758959E-2</c:v>
                </c:pt>
                <c:pt idx="10">
                  <c:v>6.3737351550122598E-2</c:v>
                </c:pt>
                <c:pt idx="11">
                  <c:v>6.6725569731940784E-2</c:v>
                </c:pt>
                <c:pt idx="12">
                  <c:v>6.9776042459213511E-2</c:v>
                </c:pt>
                <c:pt idx="13">
                  <c:v>7.2888769731940778E-2</c:v>
                </c:pt>
                <c:pt idx="14">
                  <c:v>7.6063751550122613E-2</c:v>
                </c:pt>
                <c:pt idx="15">
                  <c:v>7.9300987913758975E-2</c:v>
                </c:pt>
                <c:pt idx="16">
                  <c:v>8.2600478822849877E-2</c:v>
                </c:pt>
                <c:pt idx="17">
                  <c:v>8.5962224277395347E-2</c:v>
                </c:pt>
                <c:pt idx="18">
                  <c:v>8.9386224277395315E-2</c:v>
                </c:pt>
                <c:pt idx="19">
                  <c:v>9.287247882284988E-2</c:v>
                </c:pt>
                <c:pt idx="20">
                  <c:v>9.6420987913758957E-2</c:v>
                </c:pt>
                <c:pt idx="21">
                  <c:v>0.10003175155012259</c:v>
                </c:pt>
                <c:pt idx="22">
                  <c:v>0.10370476973194079</c:v>
                </c:pt>
                <c:pt idx="23">
                  <c:v>0.1074400424592135</c:v>
                </c:pt>
                <c:pt idx="24">
                  <c:v>0.11123756973194079</c:v>
                </c:pt>
                <c:pt idx="25">
                  <c:v>0.11509735155012259</c:v>
                </c:pt>
                <c:pt idx="26">
                  <c:v>0.11901938791375896</c:v>
                </c:pt>
                <c:pt idx="27">
                  <c:v>0.12300367882284989</c:v>
                </c:pt>
                <c:pt idx="28">
                  <c:v>0.12705022427739537</c:v>
                </c:pt>
                <c:pt idx="29">
                  <c:v>0.13115902427739531</c:v>
                </c:pt>
                <c:pt idx="30">
                  <c:v>0.13533007882284989</c:v>
                </c:pt>
                <c:pt idx="31">
                  <c:v>0.13956338791375894</c:v>
                </c:pt>
                <c:pt idx="32">
                  <c:v>0.14385895155012263</c:v>
                </c:pt>
                <c:pt idx="33">
                  <c:v>0.14821676973194081</c:v>
                </c:pt>
                <c:pt idx="34">
                  <c:v>0.1526368424592135</c:v>
                </c:pt>
                <c:pt idx="35">
                  <c:v>0.15711916973194079</c:v>
                </c:pt>
                <c:pt idx="36">
                  <c:v>0.16166375155012261</c:v>
                </c:pt>
                <c:pt idx="37">
                  <c:v>0.16627058791375893</c:v>
                </c:pt>
                <c:pt idx="38">
                  <c:v>0.17093967882284991</c:v>
                </c:pt>
                <c:pt idx="39">
                  <c:v>0.17567102427739534</c:v>
                </c:pt>
                <c:pt idx="40">
                  <c:v>0.18046462427739537</c:v>
                </c:pt>
                <c:pt idx="41">
                  <c:v>0.18532047882284991</c:v>
                </c:pt>
                <c:pt idx="42">
                  <c:v>0.19023858791375892</c:v>
                </c:pt>
                <c:pt idx="43">
                  <c:v>0.19521895155012256</c:v>
                </c:pt>
                <c:pt idx="44">
                  <c:v>0.20026156973194081</c:v>
                </c:pt>
                <c:pt idx="45">
                  <c:v>0.20536644245921354</c:v>
                </c:pt>
                <c:pt idx="46">
                  <c:v>0.21053356973194076</c:v>
                </c:pt>
                <c:pt idx="47">
                  <c:v>0.21576295155012259</c:v>
                </c:pt>
                <c:pt idx="48">
                  <c:v>0.22105458791375895</c:v>
                </c:pt>
                <c:pt idx="49">
                  <c:v>0.2264084788228499</c:v>
                </c:pt>
                <c:pt idx="50">
                  <c:v>0.23182462427739531</c:v>
                </c:pt>
                <c:pt idx="51">
                  <c:v>0.2373030242773953</c:v>
                </c:pt>
                <c:pt idx="52">
                  <c:v>0.24284367882284988</c:v>
                </c:pt>
                <c:pt idx="53">
                  <c:v>0.24844658791375895</c:v>
                </c:pt>
                <c:pt idx="54">
                  <c:v>0.25411175155012256</c:v>
                </c:pt>
                <c:pt idx="55">
                  <c:v>0.25983916973194082</c:v>
                </c:pt>
                <c:pt idx="56">
                  <c:v>0.26562884245921353</c:v>
                </c:pt>
                <c:pt idx="57">
                  <c:v>0.27148076973194085</c:v>
                </c:pt>
                <c:pt idx="58">
                  <c:v>0.27739495155012261</c:v>
                </c:pt>
                <c:pt idx="59">
                  <c:v>0.28337138791375888</c:v>
                </c:pt>
                <c:pt idx="60">
                  <c:v>0.28941007882284991</c:v>
                </c:pt>
                <c:pt idx="61">
                  <c:v>0.29551102427739534</c:v>
                </c:pt>
                <c:pt idx="62">
                  <c:v>0.30167422427739538</c:v>
                </c:pt>
                <c:pt idx="63">
                  <c:v>0.30789967882284985</c:v>
                </c:pt>
                <c:pt idx="64">
                  <c:v>0.314187387913759</c:v>
                </c:pt>
                <c:pt idx="65">
                  <c:v>0.32053735155012258</c:v>
                </c:pt>
                <c:pt idx="66">
                  <c:v>0.32694956973194084</c:v>
                </c:pt>
                <c:pt idx="67">
                  <c:v>0.33342404245921342</c:v>
                </c:pt>
                <c:pt idx="68">
                  <c:v>0.33996076973194084</c:v>
                </c:pt>
                <c:pt idx="69">
                  <c:v>0.34655975155012264</c:v>
                </c:pt>
                <c:pt idx="70">
                  <c:v>0.35322098791375905</c:v>
                </c:pt>
                <c:pt idx="71">
                  <c:v>0.35994447882284986</c:v>
                </c:pt>
                <c:pt idx="72">
                  <c:v>0.36673022427739532</c:v>
                </c:pt>
                <c:pt idx="73">
                  <c:v>0.3735782242773954</c:v>
                </c:pt>
                <c:pt idx="74">
                  <c:v>0.38048847882284981</c:v>
                </c:pt>
                <c:pt idx="75">
                  <c:v>0.38746098791375905</c:v>
                </c:pt>
                <c:pt idx="76">
                  <c:v>0.39449575155012273</c:v>
                </c:pt>
                <c:pt idx="77">
                  <c:v>0.4015927697319408</c:v>
                </c:pt>
                <c:pt idx="78">
                  <c:v>0.40875204245921359</c:v>
                </c:pt>
                <c:pt idx="79">
                  <c:v>0.41597356973194088</c:v>
                </c:pt>
                <c:pt idx="80">
                  <c:v>0.42325735155012273</c:v>
                </c:pt>
                <c:pt idx="81">
                  <c:v>0.43060338791375896</c:v>
                </c:pt>
                <c:pt idx="82">
                  <c:v>0.43801167882285003</c:v>
                </c:pt>
                <c:pt idx="83">
                  <c:v>0.44548222427739537</c:v>
                </c:pt>
                <c:pt idx="84">
                  <c:v>0.45301502427739515</c:v>
                </c:pt>
                <c:pt idx="85">
                  <c:v>0.46061007882284982</c:v>
                </c:pt>
                <c:pt idx="86">
                  <c:v>0.46826738791375899</c:v>
                </c:pt>
                <c:pt idx="87">
                  <c:v>0.47598695155012261</c:v>
                </c:pt>
                <c:pt idx="88">
                  <c:v>0.48376876973194094</c:v>
                </c:pt>
                <c:pt idx="89">
                  <c:v>0.49161284245921366</c:v>
                </c:pt>
                <c:pt idx="90">
                  <c:v>0.49951916973194077</c:v>
                </c:pt>
                <c:pt idx="91">
                  <c:v>0.5074877515501226</c:v>
                </c:pt>
                <c:pt idx="92">
                  <c:v>0.51551858791375904</c:v>
                </c:pt>
                <c:pt idx="93">
                  <c:v>0.52361167882284998</c:v>
                </c:pt>
                <c:pt idx="94">
                  <c:v>0.53176702427739553</c:v>
                </c:pt>
                <c:pt idx="95">
                  <c:v>0.53998462427739535</c:v>
                </c:pt>
                <c:pt idx="96">
                  <c:v>0.5482644788228499</c:v>
                </c:pt>
                <c:pt idx="97">
                  <c:v>0.55660658791375905</c:v>
                </c:pt>
                <c:pt idx="98">
                  <c:v>0.56501095155012271</c:v>
                </c:pt>
                <c:pt idx="99">
                  <c:v>0.57347756973194075</c:v>
                </c:pt>
                <c:pt idx="100">
                  <c:v>0.58200644245921351</c:v>
                </c:pt>
                <c:pt idx="101">
                  <c:v>0.59059756973194077</c:v>
                </c:pt>
                <c:pt idx="102">
                  <c:v>0.59925095155012253</c:v>
                </c:pt>
                <c:pt idx="103">
                  <c:v>0.60796658791375902</c:v>
                </c:pt>
                <c:pt idx="104">
                  <c:v>0.61674447882285</c:v>
                </c:pt>
                <c:pt idx="105">
                  <c:v>0.62558462427739536</c:v>
                </c:pt>
                <c:pt idx="106">
                  <c:v>0.63448702427739523</c:v>
                </c:pt>
                <c:pt idx="107">
                  <c:v>0.64345167882284982</c:v>
                </c:pt>
                <c:pt idx="108">
                  <c:v>0.6524785879137589</c:v>
                </c:pt>
                <c:pt idx="109">
                  <c:v>0.6615677515501226</c:v>
                </c:pt>
                <c:pt idx="110">
                  <c:v>0.67071916973194079</c:v>
                </c:pt>
                <c:pt idx="111">
                  <c:v>0.6799328424592137</c:v>
                </c:pt>
                <c:pt idx="112">
                  <c:v>0.68920876973194112</c:v>
                </c:pt>
                <c:pt idx="113">
                  <c:v>0.6985469515501227</c:v>
                </c:pt>
                <c:pt idx="114">
                  <c:v>0.70794738791375922</c:v>
                </c:pt>
                <c:pt idx="115">
                  <c:v>0.71741007882284991</c:v>
                </c:pt>
                <c:pt idx="116">
                  <c:v>0.72693502427739531</c:v>
                </c:pt>
                <c:pt idx="117">
                  <c:v>0.73652222427739533</c:v>
                </c:pt>
                <c:pt idx="118">
                  <c:v>0.74617167882284974</c:v>
                </c:pt>
                <c:pt idx="119">
                  <c:v>0.75588338791375898</c:v>
                </c:pt>
                <c:pt idx="120">
                  <c:v>0.7656573515501226</c:v>
                </c:pt>
                <c:pt idx="121">
                  <c:v>0.77549356973194072</c:v>
                </c:pt>
                <c:pt idx="122">
                  <c:v>0.78539204245921357</c:v>
                </c:pt>
                <c:pt idx="123">
                  <c:v>0.79535276973194047</c:v>
                </c:pt>
                <c:pt idx="124">
                  <c:v>0.80537575155012275</c:v>
                </c:pt>
                <c:pt idx="125">
                  <c:v>0.81546098791375887</c:v>
                </c:pt>
                <c:pt idx="126">
                  <c:v>0.82560847882284971</c:v>
                </c:pt>
                <c:pt idx="127">
                  <c:v>0.83581822427739572</c:v>
                </c:pt>
                <c:pt idx="128">
                  <c:v>0.84609022427739533</c:v>
                </c:pt>
                <c:pt idx="129">
                  <c:v>0.85642447882285</c:v>
                </c:pt>
                <c:pt idx="130">
                  <c:v>0.86682098791375894</c:v>
                </c:pt>
                <c:pt idx="131">
                  <c:v>0.87727975155012283</c:v>
                </c:pt>
                <c:pt idx="132">
                  <c:v>0.887800769731941</c:v>
                </c:pt>
                <c:pt idx="133">
                  <c:v>0.89838404245921366</c:v>
                </c:pt>
                <c:pt idx="134">
                  <c:v>0.90902956973194082</c:v>
                </c:pt>
                <c:pt idx="135">
                  <c:v>0.91973735155012271</c:v>
                </c:pt>
                <c:pt idx="136">
                  <c:v>0.93050738791375909</c:v>
                </c:pt>
                <c:pt idx="137">
                  <c:v>0.94133967882284986</c:v>
                </c:pt>
                <c:pt idx="138">
                  <c:v>0.95223422427739557</c:v>
                </c:pt>
                <c:pt idx="139">
                  <c:v>0.96319102427739556</c:v>
                </c:pt>
                <c:pt idx="140">
                  <c:v>0.97421007882285005</c:v>
                </c:pt>
                <c:pt idx="141">
                  <c:v>0.98529138791375903</c:v>
                </c:pt>
                <c:pt idx="142">
                  <c:v>0.99643495155012263</c:v>
                </c:pt>
                <c:pt idx="143">
                  <c:v>1.0076407697319405</c:v>
                </c:pt>
                <c:pt idx="144">
                  <c:v>1.0189088424592134</c:v>
                </c:pt>
                <c:pt idx="145">
                  <c:v>1.0302391697319409</c:v>
                </c:pt>
                <c:pt idx="146">
                  <c:v>1.0416317515501226</c:v>
                </c:pt>
                <c:pt idx="147">
                  <c:v>1.053086587913759</c:v>
                </c:pt>
                <c:pt idx="148">
                  <c:v>1.0646036788228499</c:v>
                </c:pt>
                <c:pt idx="149">
                  <c:v>1.0761830242773953</c:v>
                </c:pt>
                <c:pt idx="150">
                  <c:v>1.0878246242773955</c:v>
                </c:pt>
              </c:numCache>
            </c:numRef>
          </c:yVal>
          <c:smooth val="1"/>
          <c:extLst>
            <c:ext xmlns:c16="http://schemas.microsoft.com/office/drawing/2014/chart" uri="{C3380CC4-5D6E-409C-BE32-E72D297353CC}">
              <c16:uniqueId val="{00000002-50A0-4BAE-A18F-D1A285C4A90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50A0-4BAE-A18F-D1A285C4A90E}"/>
            </c:ext>
          </c:extLst>
        </c:ser>
        <c:dLbls>
          <c:showLegendKey val="0"/>
          <c:showVal val="0"/>
          <c:showCatName val="0"/>
          <c:showSerName val="0"/>
          <c:showPercent val="0"/>
          <c:showBubbleSize val="0"/>
        </c:dLbls>
        <c:axId val="555656704"/>
        <c:axId val="555646336"/>
      </c:scatterChart>
      <c:valAx>
        <c:axId val="555642880"/>
        <c:scaling>
          <c:orientation val="minMax"/>
        </c:scaling>
        <c:delete val="0"/>
        <c:axPos val="b"/>
        <c:majorGridlines/>
        <c:numFmt formatCode="General" sourceLinked="1"/>
        <c:majorTickMark val="out"/>
        <c:minorTickMark val="none"/>
        <c:tickLblPos val="nextTo"/>
        <c:crossAx val="555644416"/>
        <c:crosses val="autoZero"/>
        <c:crossBetween val="midCat"/>
      </c:valAx>
      <c:valAx>
        <c:axId val="55564441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55642880"/>
        <c:crosses val="autoZero"/>
        <c:crossBetween val="midCat"/>
      </c:valAx>
      <c:valAx>
        <c:axId val="55564633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55656704"/>
        <c:crosses val="max"/>
        <c:crossBetween val="midCat"/>
      </c:valAx>
      <c:valAx>
        <c:axId val="55565670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5564633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39.605233997823277</c:v>
                </c:pt>
                <c:pt idx="2">
                  <c:v>56.300567073946027</c:v>
                </c:pt>
                <c:pt idx="3">
                  <c:v>65.499857597212269</c:v>
                </c:pt>
                <c:pt idx="4">
                  <c:v>71.322600980761948</c:v>
                </c:pt>
                <c:pt idx="5">
                  <c:v>75.337109292835365</c:v>
                </c:pt>
                <c:pt idx="6">
                  <c:v>78.270658931662496</c:v>
                </c:pt>
                <c:pt idx="7">
                  <c:v>80.506617955972743</c:v>
                </c:pt>
                <c:pt idx="8">
                  <c:v>82.266235877461341</c:v>
                </c:pt>
                <c:pt idx="9">
                  <c:v>83.686145919538035</c:v>
                </c:pt>
                <c:pt idx="10">
                  <c:v>84.855286481326146</c:v>
                </c:pt>
                <c:pt idx="11">
                  <c:v>85.834041916091294</c:v>
                </c:pt>
                <c:pt idx="12">
                  <c:v>86.664850354494575</c:v>
                </c:pt>
                <c:pt idx="13">
                  <c:v>87.378409623702495</c:v>
                </c:pt>
                <c:pt idx="14">
                  <c:v>87.997474497114126</c:v>
                </c:pt>
                <c:pt idx="15">
                  <c:v>88.539269682657135</c:v>
                </c:pt>
                <c:pt idx="16">
                  <c:v>89.01707355591239</c:v>
                </c:pt>
                <c:pt idx="17">
                  <c:v>89.441287107970695</c:v>
                </c:pt>
                <c:pt idx="18">
                  <c:v>89.820173292510859</c:v>
                </c:pt>
                <c:pt idx="19">
                  <c:v>90.160379544491732</c:v>
                </c:pt>
                <c:pt idx="20">
                  <c:v>90.467314200771426</c:v>
                </c:pt>
                <c:pt idx="21">
                  <c:v>90.745422358452785</c:v>
                </c:pt>
                <c:pt idx="22">
                  <c:v>90.998391178083054</c:v>
                </c:pt>
                <c:pt idx="23">
                  <c:v>91.229304824148855</c:v>
                </c:pt>
                <c:pt idx="24">
                  <c:v>91.440762890210337</c:v>
                </c:pt>
                <c:pt idx="25">
                  <c:v>91.634971969204187</c:v>
                </c:pt>
                <c:pt idx="26">
                  <c:v>91.813817214908255</c:v>
                </c:pt>
                <c:pt idx="27">
                  <c:v>91.97891881610704</c:v>
                </c:pt>
                <c:pt idx="28">
                  <c:v>92.131676968482878</c:v>
                </c:pt>
                <c:pt idx="29">
                  <c:v>92.273307987656366</c:v>
                </c:pt>
                <c:pt idx="30">
                  <c:v>92.404873534578172</c:v>
                </c:pt>
                <c:pt idx="31">
                  <c:v>92.527304438641295</c:v>
                </c:pt>
                <c:pt idx="32">
                  <c:v>92.641420248733112</c:v>
                </c:pt>
                <c:pt idx="33">
                  <c:v>92.747945380054801</c:v>
                </c:pt>
                <c:pt idx="34">
                  <c:v>92.847522528741663</c:v>
                </c:pt>
                <c:pt idx="35">
                  <c:v>92.940723878858179</c:v>
                </c:pt>
                <c:pt idx="36">
                  <c:v>93.028060514309047</c:v>
                </c:pt>
                <c:pt idx="37">
                  <c:v>93.109990362393518</c:v>
                </c:pt>
                <c:pt idx="38">
                  <c:v>93.186924929488896</c:v>
                </c:pt>
                <c:pt idx="39">
                  <c:v>93.259235037842487</c:v>
                </c:pt>
                <c:pt idx="40">
                  <c:v>93.327255732126929</c:v>
                </c:pt>
                <c:pt idx="41">
                  <c:v>93.391290492635747</c:v>
                </c:pt>
                <c:pt idx="42">
                  <c:v>93.451614866799503</c:v>
                </c:pt>
                <c:pt idx="43">
                  <c:v>93.508479610607495</c:v>
                </c:pt>
                <c:pt idx="44">
                  <c:v>93.562113415401839</c:v>
                </c:pt>
                <c:pt idx="45">
                  <c:v>93.612725282516379</c:v>
                </c:pt>
                <c:pt idx="46">
                  <c:v>93.660506597701882</c:v>
                </c:pt>
                <c:pt idx="47">
                  <c:v>93.705632948703936</c:v>
                </c:pt>
                <c:pt idx="48">
                  <c:v>93.748265722345337</c:v>
                </c:pt>
                <c:pt idx="49">
                  <c:v>93.788553511702048</c:v>
                </c:pt>
                <c:pt idx="50">
                  <c:v>93.826633359205474</c:v>
                </c:pt>
                <c:pt idx="51">
                  <c:v>93.862631857564665</c:v>
                </c:pt>
                <c:pt idx="52">
                  <c:v>93.896666127125812</c:v>
                </c:pt>
                <c:pt idx="53">
                  <c:v>93.928844685551709</c:v>
                </c:pt>
                <c:pt idx="54">
                  <c:v>93.959268223411769</c:v>
                </c:pt>
                <c:pt idx="55">
                  <c:v>93.988030297349127</c:v>
                </c:pt>
                <c:pt idx="56">
                  <c:v>94.015217950865122</c:v>
                </c:pt>
                <c:pt idx="57">
                  <c:v>94.040912271389288</c:v>
                </c:pt>
                <c:pt idx="58">
                  <c:v>94.065188891135108</c:v>
                </c:pt>
                <c:pt idx="59">
                  <c:v>94.088118438250675</c:v>
                </c:pt>
                <c:pt idx="60">
                  <c:v>94.10976694392501</c:v>
                </c:pt>
                <c:pt idx="61">
                  <c:v>94.130196210386742</c:v>
                </c:pt>
                <c:pt idx="62">
                  <c:v>94.149464144108492</c:v>
                </c:pt>
                <c:pt idx="63">
                  <c:v>94.167625057996034</c:v>
                </c:pt>
                <c:pt idx="64">
                  <c:v>94.184729945878573</c:v>
                </c:pt>
                <c:pt idx="65">
                  <c:v>94.200826732217436</c:v>
                </c:pt>
                <c:pt idx="66">
                  <c:v>94.215960499605316</c:v>
                </c:pt>
                <c:pt idx="67">
                  <c:v>94.230173696326446</c:v>
                </c:pt>
                <c:pt idx="68">
                  <c:v>94.243506325987198</c:v>
                </c:pt>
                <c:pt idx="69">
                  <c:v>94.255996120998759</c:v>
                </c:pt>
                <c:pt idx="70">
                  <c:v>94.267678701493267</c:v>
                </c:pt>
                <c:pt idx="71">
                  <c:v>94.278587721080953</c:v>
                </c:pt>
                <c:pt idx="72">
                  <c:v>94.288755000701897</c:v>
                </c:pt>
                <c:pt idx="73">
                  <c:v>94.298210651692088</c:v>
                </c:pt>
                <c:pt idx="74">
                  <c:v>94.306983189063814</c:v>
                </c:pt>
                <c:pt idx="75">
                  <c:v>94.3150996358969</c:v>
                </c:pt>
                <c:pt idx="76">
                  <c:v>94.322585619643277</c:v>
                </c:pt>
                <c:pt idx="77">
                  <c:v>94.329465461067286</c:v>
                </c:pt>
                <c:pt idx="78">
                  <c:v>94.335762256469863</c:v>
                </c:pt>
                <c:pt idx="79">
                  <c:v>94.341497953780944</c:v>
                </c:pt>
                <c:pt idx="80">
                  <c:v>94.346693423047483</c:v>
                </c:pt>
                <c:pt idx="81">
                  <c:v>94.351368521792182</c:v>
                </c:pt>
                <c:pt idx="82">
                  <c:v>94.35554215567366</c:v>
                </c:pt>
                <c:pt idx="83">
                  <c:v>94.35923233483733</c:v>
                </c:pt>
                <c:pt idx="84">
                  <c:v>94.362456226309718</c:v>
                </c:pt>
                <c:pt idx="85">
                  <c:v>94.365230202757076</c:v>
                </c:pt>
                <c:pt idx="86">
                  <c:v>94.367569887898668</c:v>
                </c:pt>
                <c:pt idx="87">
                  <c:v>94.369490198839983</c:v>
                </c:pt>
                <c:pt idx="88">
                  <c:v>94.371005385566562</c:v>
                </c:pt>
                <c:pt idx="89">
                  <c:v>94.372129067818292</c:v>
                </c:pt>
                <c:pt idx="90">
                  <c:v>94.37287426954461</c:v>
                </c:pt>
                <c:pt idx="91">
                  <c:v>94.373253451123816</c:v>
                </c:pt>
                <c:pt idx="92">
                  <c:v>94.373278539513876</c:v>
                </c:pt>
                <c:pt idx="93">
                  <c:v>94.372960956488086</c:v>
                </c:pt>
                <c:pt idx="94">
                  <c:v>94.372311645096062</c:v>
                </c:pt>
                <c:pt idx="95">
                  <c:v>94.371341094478694</c:v>
                </c:pt>
                <c:pt idx="96">
                  <c:v>94.370059363155363</c:v>
                </c:pt>
                <c:pt idx="97">
                  <c:v>94.36847610089221</c:v>
                </c:pt>
                <c:pt idx="98">
                  <c:v>94.36660056925102</c:v>
                </c:pt>
                <c:pt idx="99">
                  <c:v>94.36444166091087</c:v>
                </c:pt>
                <c:pt idx="100">
                  <c:v>94.362007917847137</c:v>
                </c:pt>
                <c:pt idx="101">
                  <c:v>94.359307548445912</c:v>
                </c:pt>
                <c:pt idx="102">
                  <c:v>94.35634844362599</c:v>
                </c:pt>
                <c:pt idx="103">
                  <c:v>94.353138192034677</c:v>
                </c:pt>
                <c:pt idx="104">
                  <c:v>94.349684094379128</c:v>
                </c:pt>
                <c:pt idx="105">
                  <c:v>94.345993176950032</c:v>
                </c:pt>
                <c:pt idx="106">
                  <c:v>94.342072204390035</c:v>
                </c:pt>
                <c:pt idx="107">
                  <c:v>94.337927691755993</c:v>
                </c:pt>
                <c:pt idx="108">
                  <c:v>94.33356591591992</c:v>
                </c:pt>
                <c:pt idx="109">
                  <c:v>94.328992926350608</c:v>
                </c:pt>
                <c:pt idx="110">
                  <c:v>94.32421455531501</c:v>
                </c:pt>
                <c:pt idx="111">
                  <c:v>94.319236427535245</c:v>
                </c:pt>
                <c:pt idx="112">
                  <c:v>94.314063969334867</c:v>
                </c:pt>
                <c:pt idx="113">
                  <c:v>94.308702417305881</c:v>
                </c:pt>
                <c:pt idx="114">
                  <c:v>94.303156826525068</c:v>
                </c:pt>
                <c:pt idx="115">
                  <c:v>94.297432078347285</c:v>
                </c:pt>
                <c:pt idx="116">
                  <c:v>94.291532887800543</c:v>
                </c:pt>
                <c:pt idx="117">
                  <c:v>94.285463810606416</c:v>
                </c:pt>
                <c:pt idx="118">
                  <c:v>94.279229249848143</c:v>
                </c:pt>
                <c:pt idx="119">
                  <c:v>94.27283346230621</c:v>
                </c:pt>
                <c:pt idx="120">
                  <c:v>94.266280564481306</c:v>
                </c:pt>
                <c:pt idx="121">
                  <c:v>94.259574538321957</c:v>
                </c:pt>
                <c:pt idx="122">
                  <c:v>94.252719236673812</c:v>
                </c:pt>
                <c:pt idx="123">
                  <c:v>94.245718388466386</c:v>
                </c:pt>
                <c:pt idx="124">
                  <c:v>94.238575603651654</c:v>
                </c:pt>
                <c:pt idx="125">
                  <c:v>94.231294377908199</c:v>
                </c:pt>
                <c:pt idx="126">
                  <c:v>94.223878097124128</c:v>
                </c:pt>
                <c:pt idx="127">
                  <c:v>94.21633004167056</c:v>
                </c:pt>
                <c:pt idx="128">
                  <c:v>94.208653390476854</c:v>
                </c:pt>
                <c:pt idx="129">
                  <c:v>94.20085122491875</c:v>
                </c:pt>
                <c:pt idx="130">
                  <c:v>94.192926532528674</c:v>
                </c:pt>
                <c:pt idx="131">
                  <c:v>94.184882210538319</c:v>
                </c:pt>
                <c:pt idx="132">
                  <c:v>94.176721069261717</c:v>
                </c:pt>
                <c:pt idx="133">
                  <c:v>94.168445835327447</c:v>
                </c:pt>
                <c:pt idx="134">
                  <c:v>94.160059154767666</c:v>
                </c:pt>
                <c:pt idx="135">
                  <c:v>94.151563595971368</c:v>
                </c:pt>
                <c:pt idx="136">
                  <c:v>94.142961652508589</c:v>
                </c:pt>
                <c:pt idx="137">
                  <c:v>94.134255745832419</c:v>
                </c:pt>
                <c:pt idx="138">
                  <c:v>94.125448227864567</c:v>
                </c:pt>
                <c:pt idx="139">
                  <c:v>94.116541383470647</c:v>
                </c:pt>
                <c:pt idx="140">
                  <c:v>94.107537432830384</c:v>
                </c:pt>
                <c:pt idx="141">
                  <c:v>94.098438533708034</c:v>
                </c:pt>
                <c:pt idx="142">
                  <c:v>94.089246783627772</c:v>
                </c:pt>
                <c:pt idx="143">
                  <c:v>94.079964221958818</c:v>
                </c:pt>
                <c:pt idx="144">
                  <c:v>94.070592831914553</c:v>
                </c:pt>
                <c:pt idx="145">
                  <c:v>94.061134542469588</c:v>
                </c:pt>
                <c:pt idx="146">
                  <c:v>94.05159123019908</c:v>
                </c:pt>
                <c:pt idx="147">
                  <c:v>94.041964721043485</c:v>
                </c:pt>
                <c:pt idx="148">
                  <c:v>94.032256792002556</c:v>
                </c:pt>
                <c:pt idx="149">
                  <c:v>94.022469172761831</c:v>
                </c:pt>
                <c:pt idx="150">
                  <c:v>94.012603547254557</c:v>
                </c:pt>
              </c:numCache>
            </c:numRef>
          </c:yVal>
          <c:smooth val="0"/>
          <c:extLst>
            <c:ext xmlns:c16="http://schemas.microsoft.com/office/drawing/2014/chart" uri="{C3380CC4-5D6E-409C-BE32-E72D297353CC}">
              <c16:uniqueId val="{00000000-7DAF-432D-B540-E0424C156B7E}"/>
            </c:ext>
          </c:extLst>
        </c:ser>
        <c:dLbls>
          <c:showLegendKey val="0"/>
          <c:showVal val="0"/>
          <c:showCatName val="0"/>
          <c:showSerName val="0"/>
          <c:showPercent val="0"/>
          <c:showBubbleSize val="0"/>
        </c:dLbls>
        <c:axId val="522488064"/>
        <c:axId val="522489856"/>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6.4353984069163761E-2</c:v>
                </c:pt>
                <c:pt idx="2">
                  <c:v>0.11996207025341152</c:v>
                </c:pt>
                <c:pt idx="3">
                  <c:v>0.1758106853632791</c:v>
                </c:pt>
                <c:pt idx="4">
                  <c:v>0.23189982939876655</c:v>
                </c:pt>
                <c:pt idx="5">
                  <c:v>0.28822950235987377</c:v>
                </c:pt>
                <c:pt idx="6">
                  <c:v>0.34479970424660084</c:v>
                </c:pt>
                <c:pt idx="7">
                  <c:v>0.40161043505894795</c:v>
                </c:pt>
                <c:pt idx="8">
                  <c:v>0.4586616947969146</c:v>
                </c:pt>
                <c:pt idx="9">
                  <c:v>0.51595348346050118</c:v>
                </c:pt>
                <c:pt idx="10">
                  <c:v>0.57348580104970759</c:v>
                </c:pt>
                <c:pt idx="11">
                  <c:v>0.63125864756453398</c:v>
                </c:pt>
                <c:pt idx="12">
                  <c:v>0.68927202300497992</c:v>
                </c:pt>
                <c:pt idx="13">
                  <c:v>0.74752592737104606</c:v>
                </c:pt>
                <c:pt idx="14">
                  <c:v>0.80602036066273186</c:v>
                </c:pt>
                <c:pt idx="15">
                  <c:v>0.86475532288003731</c:v>
                </c:pt>
                <c:pt idx="16">
                  <c:v>0.92373081402296275</c:v>
                </c:pt>
                <c:pt idx="17">
                  <c:v>0.98294683409150818</c:v>
                </c:pt>
                <c:pt idx="18">
                  <c:v>1.0424033830856732</c:v>
                </c:pt>
                <c:pt idx="19">
                  <c:v>1.1021004610054583</c:v>
                </c:pt>
                <c:pt idx="20">
                  <c:v>1.1620380678508628</c:v>
                </c:pt>
                <c:pt idx="21">
                  <c:v>1.2222162036218873</c:v>
                </c:pt>
                <c:pt idx="22">
                  <c:v>1.282634868318532</c:v>
                </c:pt>
                <c:pt idx="23">
                  <c:v>1.3432940619407963</c:v>
                </c:pt>
                <c:pt idx="24">
                  <c:v>1.4041937844886803</c:v>
                </c:pt>
                <c:pt idx="25">
                  <c:v>1.4653340359621843</c:v>
                </c:pt>
                <c:pt idx="26">
                  <c:v>1.5267148163613082</c:v>
                </c:pt>
                <c:pt idx="27">
                  <c:v>1.5883361256860518</c:v>
                </c:pt>
                <c:pt idx="28">
                  <c:v>1.6501979639364157</c:v>
                </c:pt>
                <c:pt idx="29">
                  <c:v>1.7123003311123983</c:v>
                </c:pt>
                <c:pt idx="30">
                  <c:v>1.7746432272140018</c:v>
                </c:pt>
                <c:pt idx="31">
                  <c:v>1.8372266522412246</c:v>
                </c:pt>
                <c:pt idx="32">
                  <c:v>1.9000506061940674</c:v>
                </c:pt>
                <c:pt idx="33">
                  <c:v>1.96311508907253</c:v>
                </c:pt>
                <c:pt idx="34">
                  <c:v>2.0264201008766127</c:v>
                </c:pt>
                <c:pt idx="35">
                  <c:v>2.089965641606315</c:v>
                </c:pt>
                <c:pt idx="36">
                  <c:v>2.1537517112616369</c:v>
                </c:pt>
                <c:pt idx="37">
                  <c:v>2.2177783098425787</c:v>
                </c:pt>
                <c:pt idx="38">
                  <c:v>2.282045437349141</c:v>
                </c:pt>
                <c:pt idx="39">
                  <c:v>2.3465530937813224</c:v>
                </c:pt>
                <c:pt idx="40">
                  <c:v>2.4113012791391237</c:v>
                </c:pt>
                <c:pt idx="41">
                  <c:v>2.4762899934225455</c:v>
                </c:pt>
                <c:pt idx="42">
                  <c:v>2.541519236631586</c:v>
                </c:pt>
                <c:pt idx="43">
                  <c:v>2.6069890087662473</c:v>
                </c:pt>
                <c:pt idx="44">
                  <c:v>2.6726993098265281</c:v>
                </c:pt>
                <c:pt idx="45">
                  <c:v>2.7386501398124281</c:v>
                </c:pt>
                <c:pt idx="46">
                  <c:v>2.8048414987239489</c:v>
                </c:pt>
                <c:pt idx="47">
                  <c:v>2.8712733865610898</c:v>
                </c:pt>
                <c:pt idx="48">
                  <c:v>2.9379458033238492</c:v>
                </c:pt>
                <c:pt idx="49">
                  <c:v>3.0048587490122292</c:v>
                </c:pt>
                <c:pt idx="50">
                  <c:v>3.0720122236262291</c:v>
                </c:pt>
                <c:pt idx="51">
                  <c:v>3.1394062271658489</c:v>
                </c:pt>
                <c:pt idx="52">
                  <c:v>3.2070407596310893</c:v>
                </c:pt>
                <c:pt idx="53">
                  <c:v>3.2749158210219478</c:v>
                </c:pt>
                <c:pt idx="54">
                  <c:v>3.3430314113384272</c:v>
                </c:pt>
                <c:pt idx="55">
                  <c:v>3.4113875305805261</c:v>
                </c:pt>
                <c:pt idx="56">
                  <c:v>3.4799841787482455</c:v>
                </c:pt>
                <c:pt idx="57">
                  <c:v>3.5488213558415844</c:v>
                </c:pt>
                <c:pt idx="58">
                  <c:v>3.6178990618605416</c:v>
                </c:pt>
                <c:pt idx="59">
                  <c:v>3.68721729680512</c:v>
                </c:pt>
                <c:pt idx="60">
                  <c:v>3.7567760606753189</c:v>
                </c:pt>
                <c:pt idx="61">
                  <c:v>3.826575353471136</c:v>
                </c:pt>
                <c:pt idx="62">
                  <c:v>3.8966151751925744</c:v>
                </c:pt>
                <c:pt idx="63">
                  <c:v>3.9668955258396323</c:v>
                </c:pt>
                <c:pt idx="64">
                  <c:v>4.0374164054123094</c:v>
                </c:pt>
                <c:pt idx="65">
                  <c:v>4.108177813910606</c:v>
                </c:pt>
                <c:pt idx="66">
                  <c:v>4.1791797513345239</c:v>
                </c:pt>
                <c:pt idx="67">
                  <c:v>4.2504222176840605</c:v>
                </c:pt>
                <c:pt idx="68">
                  <c:v>4.3219052129592184</c:v>
                </c:pt>
                <c:pt idx="69">
                  <c:v>4.3936287371599949</c:v>
                </c:pt>
                <c:pt idx="70">
                  <c:v>4.4655927902863919</c:v>
                </c:pt>
                <c:pt idx="71">
                  <c:v>4.5377973723384075</c:v>
                </c:pt>
                <c:pt idx="72">
                  <c:v>4.6102424833160436</c:v>
                </c:pt>
                <c:pt idx="73">
                  <c:v>4.6829281232192992</c:v>
                </c:pt>
                <c:pt idx="74">
                  <c:v>4.7558542920481752</c:v>
                </c:pt>
                <c:pt idx="75">
                  <c:v>4.8290209898026717</c:v>
                </c:pt>
                <c:pt idx="76">
                  <c:v>4.9024282164827877</c:v>
                </c:pt>
                <c:pt idx="77">
                  <c:v>4.9760759720885233</c:v>
                </c:pt>
                <c:pt idx="78">
                  <c:v>5.0499642566198775</c:v>
                </c:pt>
                <c:pt idx="79">
                  <c:v>5.1240930700768521</c:v>
                </c:pt>
                <c:pt idx="80">
                  <c:v>5.1984624124594472</c:v>
                </c:pt>
                <c:pt idx="81">
                  <c:v>5.2730722837676609</c:v>
                </c:pt>
                <c:pt idx="82">
                  <c:v>5.3479226840014968</c:v>
                </c:pt>
                <c:pt idx="83">
                  <c:v>5.4230136131609505</c:v>
                </c:pt>
                <c:pt idx="84">
                  <c:v>5.4983450712460238</c:v>
                </c:pt>
                <c:pt idx="85">
                  <c:v>5.5739170582567183</c:v>
                </c:pt>
                <c:pt idx="86">
                  <c:v>5.6497295741930333</c:v>
                </c:pt>
                <c:pt idx="87">
                  <c:v>5.7257826190549661</c:v>
                </c:pt>
                <c:pt idx="88">
                  <c:v>5.8020761928425211</c:v>
                </c:pt>
                <c:pt idx="89">
                  <c:v>5.8786102955556938</c:v>
                </c:pt>
                <c:pt idx="90">
                  <c:v>5.9553849271944861</c:v>
                </c:pt>
                <c:pt idx="91">
                  <c:v>6.0324000877588997</c:v>
                </c:pt>
                <c:pt idx="92">
                  <c:v>6.1096557772489328</c:v>
                </c:pt>
                <c:pt idx="93">
                  <c:v>6.1871519956645855</c:v>
                </c:pt>
                <c:pt idx="94">
                  <c:v>6.2648887430058586</c:v>
                </c:pt>
                <c:pt idx="95">
                  <c:v>6.3428660192727513</c:v>
                </c:pt>
                <c:pt idx="96">
                  <c:v>6.4210838244652617</c:v>
                </c:pt>
                <c:pt idx="97">
                  <c:v>6.4995421585833943</c:v>
                </c:pt>
                <c:pt idx="98">
                  <c:v>6.5782410216271456</c:v>
                </c:pt>
                <c:pt idx="99">
                  <c:v>6.6571804135965174</c:v>
                </c:pt>
                <c:pt idx="100">
                  <c:v>6.7363603344915095</c:v>
                </c:pt>
                <c:pt idx="101">
                  <c:v>6.8157807843121221</c:v>
                </c:pt>
                <c:pt idx="102">
                  <c:v>6.8954417630583524</c:v>
                </c:pt>
                <c:pt idx="103">
                  <c:v>6.9753432707302032</c:v>
                </c:pt>
                <c:pt idx="104">
                  <c:v>7.0554853073276753</c:v>
                </c:pt>
                <c:pt idx="105">
                  <c:v>7.1358678728507652</c:v>
                </c:pt>
                <c:pt idx="106">
                  <c:v>7.2164909672994746</c:v>
                </c:pt>
                <c:pt idx="107">
                  <c:v>7.2973545906738053</c:v>
                </c:pt>
                <c:pt idx="108">
                  <c:v>7.3784587429737565</c:v>
                </c:pt>
                <c:pt idx="109">
                  <c:v>7.4598034241993263</c:v>
                </c:pt>
                <c:pt idx="110">
                  <c:v>7.5413886343505165</c:v>
                </c:pt>
                <c:pt idx="111">
                  <c:v>7.6232143734273263</c:v>
                </c:pt>
                <c:pt idx="112">
                  <c:v>7.7052806414297574</c:v>
                </c:pt>
                <c:pt idx="113">
                  <c:v>7.7875874383578054</c:v>
                </c:pt>
                <c:pt idx="114">
                  <c:v>7.8701347642114765</c:v>
                </c:pt>
                <c:pt idx="115">
                  <c:v>7.9529226189907645</c:v>
                </c:pt>
                <c:pt idx="116">
                  <c:v>8.0359510026956702</c:v>
                </c:pt>
                <c:pt idx="117">
                  <c:v>8.1192199153261999</c:v>
                </c:pt>
                <c:pt idx="118">
                  <c:v>8.2027293568823492</c:v>
                </c:pt>
                <c:pt idx="119">
                  <c:v>8.286479327364118</c:v>
                </c:pt>
                <c:pt idx="120">
                  <c:v>8.3704698267715063</c:v>
                </c:pt>
                <c:pt idx="121">
                  <c:v>8.4547008551045124</c:v>
                </c:pt>
                <c:pt idx="122">
                  <c:v>8.5391724123631416</c:v>
                </c:pt>
                <c:pt idx="123">
                  <c:v>8.6238844985473868</c:v>
                </c:pt>
                <c:pt idx="124">
                  <c:v>8.7088371136572569</c:v>
                </c:pt>
                <c:pt idx="125">
                  <c:v>8.7940302576927429</c:v>
                </c:pt>
                <c:pt idx="126">
                  <c:v>8.8794639306538521</c:v>
                </c:pt>
                <c:pt idx="127">
                  <c:v>8.965138132540579</c:v>
                </c:pt>
                <c:pt idx="128">
                  <c:v>9.0510528633529255</c:v>
                </c:pt>
                <c:pt idx="129">
                  <c:v>9.1372081230908933</c:v>
                </c:pt>
                <c:pt idx="130">
                  <c:v>9.2236039117544788</c:v>
                </c:pt>
                <c:pt idx="131">
                  <c:v>9.3102402293436857</c:v>
                </c:pt>
                <c:pt idx="132">
                  <c:v>9.3971170758585121</c:v>
                </c:pt>
                <c:pt idx="133">
                  <c:v>9.484234451298958</c:v>
                </c:pt>
                <c:pt idx="134">
                  <c:v>9.5715923556650235</c:v>
                </c:pt>
                <c:pt idx="135">
                  <c:v>9.6591907889567103</c:v>
                </c:pt>
                <c:pt idx="136">
                  <c:v>9.7470297511740167</c:v>
                </c:pt>
                <c:pt idx="137">
                  <c:v>9.8351092423169408</c:v>
                </c:pt>
                <c:pt idx="138">
                  <c:v>9.9234292623854863</c:v>
                </c:pt>
                <c:pt idx="139">
                  <c:v>10.011989811379653</c:v>
                </c:pt>
                <c:pt idx="140">
                  <c:v>10.100790889299438</c:v>
                </c:pt>
                <c:pt idx="141">
                  <c:v>10.189832496144842</c:v>
                </c:pt>
                <c:pt idx="142">
                  <c:v>10.279114631915865</c:v>
                </c:pt>
                <c:pt idx="143">
                  <c:v>10.36863729661251</c:v>
                </c:pt>
                <c:pt idx="144">
                  <c:v>10.458400490234773</c:v>
                </c:pt>
                <c:pt idx="145">
                  <c:v>10.548404212782659</c:v>
                </c:pt>
                <c:pt idx="146">
                  <c:v>10.638648464256162</c:v>
                </c:pt>
                <c:pt idx="147">
                  <c:v>10.729133244655285</c:v>
                </c:pt>
                <c:pt idx="148">
                  <c:v>10.81985855398003</c:v>
                </c:pt>
                <c:pt idx="149">
                  <c:v>10.910824392230392</c:v>
                </c:pt>
                <c:pt idx="150">
                  <c:v>11.002030759406377</c:v>
                </c:pt>
              </c:numCache>
            </c:numRef>
          </c:yVal>
          <c:smooth val="1"/>
          <c:extLst>
            <c:ext xmlns:c16="http://schemas.microsoft.com/office/drawing/2014/chart" uri="{C3380CC4-5D6E-409C-BE32-E72D297353CC}">
              <c16:uniqueId val="{00000001-7DAF-432D-B540-E0424C156B7E}"/>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3.727916973194078E-2</c:v>
                </c:pt>
                <c:pt idx="1">
                  <c:v>3.96448424592135E-2</c:v>
                </c:pt>
                <c:pt idx="2">
                  <c:v>4.2072769731940775E-2</c:v>
                </c:pt>
                <c:pt idx="3">
                  <c:v>4.456295155012259E-2</c:v>
                </c:pt>
                <c:pt idx="4">
                  <c:v>4.7115387913758959E-2</c:v>
                </c:pt>
                <c:pt idx="5">
                  <c:v>4.9730078822849869E-2</c:v>
                </c:pt>
                <c:pt idx="6">
                  <c:v>5.2407024277395325E-2</c:v>
                </c:pt>
                <c:pt idx="7">
                  <c:v>5.5146224277395323E-2</c:v>
                </c:pt>
                <c:pt idx="8">
                  <c:v>5.7947678822849867E-2</c:v>
                </c:pt>
                <c:pt idx="9">
                  <c:v>6.0811387913758959E-2</c:v>
                </c:pt>
                <c:pt idx="10">
                  <c:v>6.3737351550122598E-2</c:v>
                </c:pt>
                <c:pt idx="11">
                  <c:v>6.6725569731940784E-2</c:v>
                </c:pt>
                <c:pt idx="12">
                  <c:v>6.9776042459213511E-2</c:v>
                </c:pt>
                <c:pt idx="13">
                  <c:v>7.2888769731940778E-2</c:v>
                </c:pt>
                <c:pt idx="14">
                  <c:v>7.6063751550122613E-2</c:v>
                </c:pt>
                <c:pt idx="15">
                  <c:v>7.9300987913758975E-2</c:v>
                </c:pt>
                <c:pt idx="16">
                  <c:v>8.2600478822849877E-2</c:v>
                </c:pt>
                <c:pt idx="17">
                  <c:v>8.5962224277395347E-2</c:v>
                </c:pt>
                <c:pt idx="18">
                  <c:v>8.9386224277395315E-2</c:v>
                </c:pt>
                <c:pt idx="19">
                  <c:v>9.287247882284988E-2</c:v>
                </c:pt>
                <c:pt idx="20">
                  <c:v>9.6420987913758957E-2</c:v>
                </c:pt>
                <c:pt idx="21">
                  <c:v>0.10003175155012259</c:v>
                </c:pt>
                <c:pt idx="22">
                  <c:v>0.10370476973194079</c:v>
                </c:pt>
                <c:pt idx="23">
                  <c:v>0.1074400424592135</c:v>
                </c:pt>
                <c:pt idx="24">
                  <c:v>0.11123756973194079</c:v>
                </c:pt>
                <c:pt idx="25">
                  <c:v>0.11509735155012259</c:v>
                </c:pt>
                <c:pt idx="26">
                  <c:v>0.11901938791375896</c:v>
                </c:pt>
                <c:pt idx="27">
                  <c:v>0.12300367882284989</c:v>
                </c:pt>
                <c:pt idx="28">
                  <c:v>0.12705022427739537</c:v>
                </c:pt>
                <c:pt idx="29">
                  <c:v>0.13115902427739531</c:v>
                </c:pt>
                <c:pt idx="30">
                  <c:v>0.13533007882284989</c:v>
                </c:pt>
                <c:pt idx="31">
                  <c:v>0.13956338791375894</c:v>
                </c:pt>
                <c:pt idx="32">
                  <c:v>0.14385895155012263</c:v>
                </c:pt>
                <c:pt idx="33">
                  <c:v>0.14821676973194081</c:v>
                </c:pt>
                <c:pt idx="34">
                  <c:v>0.1526368424592135</c:v>
                </c:pt>
                <c:pt idx="35">
                  <c:v>0.15711916973194079</c:v>
                </c:pt>
                <c:pt idx="36">
                  <c:v>0.16166375155012261</c:v>
                </c:pt>
                <c:pt idx="37">
                  <c:v>0.16627058791375893</c:v>
                </c:pt>
                <c:pt idx="38">
                  <c:v>0.17093967882284991</c:v>
                </c:pt>
                <c:pt idx="39">
                  <c:v>0.17567102427739534</c:v>
                </c:pt>
                <c:pt idx="40">
                  <c:v>0.18046462427739537</c:v>
                </c:pt>
                <c:pt idx="41">
                  <c:v>0.18532047882284991</c:v>
                </c:pt>
                <c:pt idx="42">
                  <c:v>0.19023858791375892</c:v>
                </c:pt>
                <c:pt idx="43">
                  <c:v>0.19521895155012256</c:v>
                </c:pt>
                <c:pt idx="44">
                  <c:v>0.20026156973194081</c:v>
                </c:pt>
                <c:pt idx="45">
                  <c:v>0.20536644245921354</c:v>
                </c:pt>
                <c:pt idx="46">
                  <c:v>0.21053356973194076</c:v>
                </c:pt>
                <c:pt idx="47">
                  <c:v>0.21576295155012259</c:v>
                </c:pt>
                <c:pt idx="48">
                  <c:v>0.22105458791375895</c:v>
                </c:pt>
                <c:pt idx="49">
                  <c:v>0.2264084788228499</c:v>
                </c:pt>
                <c:pt idx="50">
                  <c:v>0.23182462427739531</c:v>
                </c:pt>
                <c:pt idx="51">
                  <c:v>0.2373030242773953</c:v>
                </c:pt>
                <c:pt idx="52">
                  <c:v>0.24284367882284988</c:v>
                </c:pt>
                <c:pt idx="53">
                  <c:v>0.24844658791375895</c:v>
                </c:pt>
                <c:pt idx="54">
                  <c:v>0.25411175155012256</c:v>
                </c:pt>
                <c:pt idx="55">
                  <c:v>0.25983916973194082</c:v>
                </c:pt>
                <c:pt idx="56">
                  <c:v>0.26562884245921353</c:v>
                </c:pt>
                <c:pt idx="57">
                  <c:v>0.27148076973194085</c:v>
                </c:pt>
                <c:pt idx="58">
                  <c:v>0.27739495155012261</c:v>
                </c:pt>
                <c:pt idx="59">
                  <c:v>0.28337138791375888</c:v>
                </c:pt>
                <c:pt idx="60">
                  <c:v>0.28941007882284991</c:v>
                </c:pt>
                <c:pt idx="61">
                  <c:v>0.29551102427739534</c:v>
                </c:pt>
                <c:pt idx="62">
                  <c:v>0.30167422427739538</c:v>
                </c:pt>
                <c:pt idx="63">
                  <c:v>0.30789967882284985</c:v>
                </c:pt>
                <c:pt idx="64">
                  <c:v>0.314187387913759</c:v>
                </c:pt>
                <c:pt idx="65">
                  <c:v>0.32053735155012258</c:v>
                </c:pt>
                <c:pt idx="66">
                  <c:v>0.32694956973194084</c:v>
                </c:pt>
                <c:pt idx="67">
                  <c:v>0.33342404245921342</c:v>
                </c:pt>
                <c:pt idx="68">
                  <c:v>0.33996076973194084</c:v>
                </c:pt>
                <c:pt idx="69">
                  <c:v>0.34655975155012264</c:v>
                </c:pt>
                <c:pt idx="70">
                  <c:v>0.35322098791375905</c:v>
                </c:pt>
                <c:pt idx="71">
                  <c:v>0.35994447882284986</c:v>
                </c:pt>
                <c:pt idx="72">
                  <c:v>0.36673022427739532</c:v>
                </c:pt>
                <c:pt idx="73">
                  <c:v>0.3735782242773954</c:v>
                </c:pt>
                <c:pt idx="74">
                  <c:v>0.38048847882284981</c:v>
                </c:pt>
                <c:pt idx="75">
                  <c:v>0.38746098791375905</c:v>
                </c:pt>
                <c:pt idx="76">
                  <c:v>0.39449575155012273</c:v>
                </c:pt>
                <c:pt idx="77">
                  <c:v>0.4015927697319408</c:v>
                </c:pt>
                <c:pt idx="78">
                  <c:v>0.40875204245921359</c:v>
                </c:pt>
                <c:pt idx="79">
                  <c:v>0.41597356973194088</c:v>
                </c:pt>
                <c:pt idx="80">
                  <c:v>0.42325735155012273</c:v>
                </c:pt>
                <c:pt idx="81">
                  <c:v>0.43060338791375896</c:v>
                </c:pt>
                <c:pt idx="82">
                  <c:v>0.43801167882285003</c:v>
                </c:pt>
                <c:pt idx="83">
                  <c:v>0.44548222427739537</c:v>
                </c:pt>
                <c:pt idx="84">
                  <c:v>0.45301502427739515</c:v>
                </c:pt>
                <c:pt idx="85">
                  <c:v>0.46061007882284982</c:v>
                </c:pt>
                <c:pt idx="86">
                  <c:v>0.46826738791375899</c:v>
                </c:pt>
                <c:pt idx="87">
                  <c:v>0.47598695155012261</c:v>
                </c:pt>
                <c:pt idx="88">
                  <c:v>0.48376876973194094</c:v>
                </c:pt>
                <c:pt idx="89">
                  <c:v>0.49161284245921366</c:v>
                </c:pt>
                <c:pt idx="90">
                  <c:v>0.49951916973194077</c:v>
                </c:pt>
                <c:pt idx="91">
                  <c:v>0.5074877515501226</c:v>
                </c:pt>
                <c:pt idx="92">
                  <c:v>0.51551858791375904</c:v>
                </c:pt>
                <c:pt idx="93">
                  <c:v>0.52361167882284998</c:v>
                </c:pt>
                <c:pt idx="94">
                  <c:v>0.53176702427739553</c:v>
                </c:pt>
                <c:pt idx="95">
                  <c:v>0.53998462427739535</c:v>
                </c:pt>
                <c:pt idx="96">
                  <c:v>0.5482644788228499</c:v>
                </c:pt>
                <c:pt idx="97">
                  <c:v>0.55660658791375905</c:v>
                </c:pt>
                <c:pt idx="98">
                  <c:v>0.56501095155012271</c:v>
                </c:pt>
                <c:pt idx="99">
                  <c:v>0.57347756973194075</c:v>
                </c:pt>
                <c:pt idx="100">
                  <c:v>0.58200644245921351</c:v>
                </c:pt>
                <c:pt idx="101">
                  <c:v>0.59059756973194077</c:v>
                </c:pt>
                <c:pt idx="102">
                  <c:v>0.59925095155012253</c:v>
                </c:pt>
                <c:pt idx="103">
                  <c:v>0.60796658791375902</c:v>
                </c:pt>
                <c:pt idx="104">
                  <c:v>0.61674447882285</c:v>
                </c:pt>
                <c:pt idx="105">
                  <c:v>0.62558462427739536</c:v>
                </c:pt>
                <c:pt idx="106">
                  <c:v>0.63448702427739523</c:v>
                </c:pt>
                <c:pt idx="107">
                  <c:v>0.64345167882284982</c:v>
                </c:pt>
                <c:pt idx="108">
                  <c:v>0.6524785879137589</c:v>
                </c:pt>
                <c:pt idx="109">
                  <c:v>0.6615677515501226</c:v>
                </c:pt>
                <c:pt idx="110">
                  <c:v>0.67071916973194079</c:v>
                </c:pt>
                <c:pt idx="111">
                  <c:v>0.6799328424592137</c:v>
                </c:pt>
                <c:pt idx="112">
                  <c:v>0.68920876973194112</c:v>
                </c:pt>
                <c:pt idx="113">
                  <c:v>0.6985469515501227</c:v>
                </c:pt>
                <c:pt idx="114">
                  <c:v>0.70794738791375922</c:v>
                </c:pt>
                <c:pt idx="115">
                  <c:v>0.71741007882284991</c:v>
                </c:pt>
                <c:pt idx="116">
                  <c:v>0.72693502427739531</c:v>
                </c:pt>
                <c:pt idx="117">
                  <c:v>0.73652222427739533</c:v>
                </c:pt>
                <c:pt idx="118">
                  <c:v>0.74617167882284974</c:v>
                </c:pt>
                <c:pt idx="119">
                  <c:v>0.75588338791375898</c:v>
                </c:pt>
                <c:pt idx="120">
                  <c:v>0.7656573515501226</c:v>
                </c:pt>
                <c:pt idx="121">
                  <c:v>0.77549356973194072</c:v>
                </c:pt>
                <c:pt idx="122">
                  <c:v>0.78539204245921357</c:v>
                </c:pt>
                <c:pt idx="123">
                  <c:v>0.79535276973194047</c:v>
                </c:pt>
                <c:pt idx="124">
                  <c:v>0.80537575155012275</c:v>
                </c:pt>
                <c:pt idx="125">
                  <c:v>0.81546098791375887</c:v>
                </c:pt>
                <c:pt idx="126">
                  <c:v>0.82560847882284971</c:v>
                </c:pt>
                <c:pt idx="127">
                  <c:v>0.83581822427739572</c:v>
                </c:pt>
                <c:pt idx="128">
                  <c:v>0.84609022427739533</c:v>
                </c:pt>
                <c:pt idx="129">
                  <c:v>0.85642447882285</c:v>
                </c:pt>
                <c:pt idx="130">
                  <c:v>0.86682098791375894</c:v>
                </c:pt>
                <c:pt idx="131">
                  <c:v>0.87727975155012283</c:v>
                </c:pt>
                <c:pt idx="132">
                  <c:v>0.887800769731941</c:v>
                </c:pt>
                <c:pt idx="133">
                  <c:v>0.89838404245921366</c:v>
                </c:pt>
                <c:pt idx="134">
                  <c:v>0.90902956973194082</c:v>
                </c:pt>
                <c:pt idx="135">
                  <c:v>0.91973735155012271</c:v>
                </c:pt>
                <c:pt idx="136">
                  <c:v>0.93050738791375909</c:v>
                </c:pt>
                <c:pt idx="137">
                  <c:v>0.94133967882284986</c:v>
                </c:pt>
                <c:pt idx="138">
                  <c:v>0.95223422427739557</c:v>
                </c:pt>
                <c:pt idx="139">
                  <c:v>0.96319102427739556</c:v>
                </c:pt>
                <c:pt idx="140">
                  <c:v>0.97421007882285005</c:v>
                </c:pt>
                <c:pt idx="141">
                  <c:v>0.98529138791375903</c:v>
                </c:pt>
                <c:pt idx="142">
                  <c:v>0.99643495155012263</c:v>
                </c:pt>
                <c:pt idx="143">
                  <c:v>1.0076407697319405</c:v>
                </c:pt>
                <c:pt idx="144">
                  <c:v>1.0189088424592134</c:v>
                </c:pt>
                <c:pt idx="145">
                  <c:v>1.0302391697319409</c:v>
                </c:pt>
                <c:pt idx="146">
                  <c:v>1.0416317515501226</c:v>
                </c:pt>
                <c:pt idx="147">
                  <c:v>1.053086587913759</c:v>
                </c:pt>
                <c:pt idx="148">
                  <c:v>1.0646036788228499</c:v>
                </c:pt>
                <c:pt idx="149">
                  <c:v>1.0761830242773953</c:v>
                </c:pt>
                <c:pt idx="150">
                  <c:v>1.0878246242773955</c:v>
                </c:pt>
              </c:numCache>
            </c:numRef>
          </c:yVal>
          <c:smooth val="1"/>
          <c:extLst>
            <c:ext xmlns:c16="http://schemas.microsoft.com/office/drawing/2014/chart" uri="{C3380CC4-5D6E-409C-BE32-E72D297353CC}">
              <c16:uniqueId val="{00000002-7DAF-432D-B540-E0424C156B7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7DAF-432D-B540-E0424C156B7E}"/>
            </c:ext>
          </c:extLst>
        </c:ser>
        <c:dLbls>
          <c:showLegendKey val="0"/>
          <c:showVal val="0"/>
          <c:showCatName val="0"/>
          <c:showSerName val="0"/>
          <c:showPercent val="0"/>
          <c:showBubbleSize val="0"/>
        </c:dLbls>
        <c:axId val="522502144"/>
        <c:axId val="522491776"/>
      </c:scatterChart>
      <c:valAx>
        <c:axId val="522488064"/>
        <c:scaling>
          <c:orientation val="minMax"/>
        </c:scaling>
        <c:delete val="0"/>
        <c:axPos val="b"/>
        <c:majorGridlines/>
        <c:numFmt formatCode="General" sourceLinked="1"/>
        <c:majorTickMark val="out"/>
        <c:minorTickMark val="none"/>
        <c:tickLblPos val="nextTo"/>
        <c:crossAx val="522489856"/>
        <c:crosses val="autoZero"/>
        <c:crossBetween val="midCat"/>
      </c:valAx>
      <c:valAx>
        <c:axId val="52248985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22488064"/>
        <c:crosses val="autoZero"/>
        <c:crossBetween val="midCat"/>
      </c:valAx>
      <c:valAx>
        <c:axId val="52249177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22502144"/>
        <c:crosses val="max"/>
        <c:crossBetween val="midCat"/>
      </c:valAx>
      <c:valAx>
        <c:axId val="52250214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2249177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39.605233997823277</c:v>
                </c:pt>
                <c:pt idx="2">
                  <c:v>56.300567073946027</c:v>
                </c:pt>
                <c:pt idx="3">
                  <c:v>65.499857597212269</c:v>
                </c:pt>
                <c:pt idx="4">
                  <c:v>71.322600980761948</c:v>
                </c:pt>
                <c:pt idx="5">
                  <c:v>75.337109292835365</c:v>
                </c:pt>
                <c:pt idx="6">
                  <c:v>78.270658931662496</c:v>
                </c:pt>
                <c:pt idx="7">
                  <c:v>80.506617955972743</c:v>
                </c:pt>
                <c:pt idx="8">
                  <c:v>82.266235877461341</c:v>
                </c:pt>
                <c:pt idx="9">
                  <c:v>83.686145919538035</c:v>
                </c:pt>
                <c:pt idx="10">
                  <c:v>84.855286481326146</c:v>
                </c:pt>
                <c:pt idx="11">
                  <c:v>85.834041916091294</c:v>
                </c:pt>
                <c:pt idx="12">
                  <c:v>86.664850354494575</c:v>
                </c:pt>
                <c:pt idx="13">
                  <c:v>87.378409623702495</c:v>
                </c:pt>
                <c:pt idx="14">
                  <c:v>87.997474497114126</c:v>
                </c:pt>
                <c:pt idx="15">
                  <c:v>88.539269682657135</c:v>
                </c:pt>
                <c:pt idx="16">
                  <c:v>89.01707355591239</c:v>
                </c:pt>
                <c:pt idx="17">
                  <c:v>89.441287107970695</c:v>
                </c:pt>
                <c:pt idx="18">
                  <c:v>89.820173292510859</c:v>
                </c:pt>
                <c:pt idx="19">
                  <c:v>90.160379544491732</c:v>
                </c:pt>
                <c:pt idx="20">
                  <c:v>90.467314200771426</c:v>
                </c:pt>
                <c:pt idx="21">
                  <c:v>90.745422358452785</c:v>
                </c:pt>
                <c:pt idx="22">
                  <c:v>90.998391178083054</c:v>
                </c:pt>
                <c:pt idx="23">
                  <c:v>91.229304824148855</c:v>
                </c:pt>
                <c:pt idx="24">
                  <c:v>91.440762890210337</c:v>
                </c:pt>
                <c:pt idx="25">
                  <c:v>91.634971969204187</c:v>
                </c:pt>
                <c:pt idx="26">
                  <c:v>91.813817214908255</c:v>
                </c:pt>
                <c:pt idx="27">
                  <c:v>91.97891881610704</c:v>
                </c:pt>
                <c:pt idx="28">
                  <c:v>92.131676968482878</c:v>
                </c:pt>
                <c:pt idx="29">
                  <c:v>92.273307987656366</c:v>
                </c:pt>
                <c:pt idx="30">
                  <c:v>92.404873534578172</c:v>
                </c:pt>
                <c:pt idx="31">
                  <c:v>92.527304438641295</c:v>
                </c:pt>
                <c:pt idx="32">
                  <c:v>92.641420248733112</c:v>
                </c:pt>
                <c:pt idx="33">
                  <c:v>92.747945380054801</c:v>
                </c:pt>
                <c:pt idx="34">
                  <c:v>92.847522528741663</c:v>
                </c:pt>
                <c:pt idx="35">
                  <c:v>92.940723878858179</c:v>
                </c:pt>
                <c:pt idx="36">
                  <c:v>93.028060514309047</c:v>
                </c:pt>
                <c:pt idx="37">
                  <c:v>93.109990362393518</c:v>
                </c:pt>
                <c:pt idx="38">
                  <c:v>93.186924929488896</c:v>
                </c:pt>
                <c:pt idx="39">
                  <c:v>93.259235037842487</c:v>
                </c:pt>
                <c:pt idx="40">
                  <c:v>93.327255732126929</c:v>
                </c:pt>
                <c:pt idx="41">
                  <c:v>93.391290492635747</c:v>
                </c:pt>
                <c:pt idx="42">
                  <c:v>93.451614866799503</c:v>
                </c:pt>
                <c:pt idx="43">
                  <c:v>93.508479610607495</c:v>
                </c:pt>
                <c:pt idx="44">
                  <c:v>93.562113415401839</c:v>
                </c:pt>
                <c:pt idx="45">
                  <c:v>93.612725282516379</c:v>
                </c:pt>
                <c:pt idx="46">
                  <c:v>93.660506597701882</c:v>
                </c:pt>
                <c:pt idx="47">
                  <c:v>93.705632948703936</c:v>
                </c:pt>
                <c:pt idx="48">
                  <c:v>93.748265722345337</c:v>
                </c:pt>
                <c:pt idx="49">
                  <c:v>93.788553511702048</c:v>
                </c:pt>
                <c:pt idx="50">
                  <c:v>93.826633359205474</c:v>
                </c:pt>
                <c:pt idx="51">
                  <c:v>93.862631857564665</c:v>
                </c:pt>
                <c:pt idx="52">
                  <c:v>93.896666127125812</c:v>
                </c:pt>
                <c:pt idx="53">
                  <c:v>93.928844685551709</c:v>
                </c:pt>
                <c:pt idx="54">
                  <c:v>93.959268223411769</c:v>
                </c:pt>
                <c:pt idx="55">
                  <c:v>93.988030297349127</c:v>
                </c:pt>
                <c:pt idx="56">
                  <c:v>94.015217950865122</c:v>
                </c:pt>
                <c:pt idx="57">
                  <c:v>94.040912271389288</c:v>
                </c:pt>
                <c:pt idx="58">
                  <c:v>94.065188891135108</c:v>
                </c:pt>
                <c:pt idx="59">
                  <c:v>94.088118438250675</c:v>
                </c:pt>
                <c:pt idx="60">
                  <c:v>94.10976694392501</c:v>
                </c:pt>
                <c:pt idx="61">
                  <c:v>94.130196210386742</c:v>
                </c:pt>
                <c:pt idx="62">
                  <c:v>94.149464144108492</c:v>
                </c:pt>
                <c:pt idx="63">
                  <c:v>94.167625057996034</c:v>
                </c:pt>
                <c:pt idx="64">
                  <c:v>94.184729945878573</c:v>
                </c:pt>
                <c:pt idx="65">
                  <c:v>94.200826732217436</c:v>
                </c:pt>
                <c:pt idx="66">
                  <c:v>94.215960499605316</c:v>
                </c:pt>
                <c:pt idx="67">
                  <c:v>94.230173696326446</c:v>
                </c:pt>
                <c:pt idx="68">
                  <c:v>94.243506325987198</c:v>
                </c:pt>
                <c:pt idx="69">
                  <c:v>94.255996120998759</c:v>
                </c:pt>
                <c:pt idx="70">
                  <c:v>94.267678701493267</c:v>
                </c:pt>
                <c:pt idx="71">
                  <c:v>94.278587721080953</c:v>
                </c:pt>
                <c:pt idx="72">
                  <c:v>94.288755000701897</c:v>
                </c:pt>
                <c:pt idx="73">
                  <c:v>94.298210651692088</c:v>
                </c:pt>
                <c:pt idx="74">
                  <c:v>94.306983189063814</c:v>
                </c:pt>
                <c:pt idx="75">
                  <c:v>94.3150996358969</c:v>
                </c:pt>
                <c:pt idx="76">
                  <c:v>94.322585619643277</c:v>
                </c:pt>
                <c:pt idx="77">
                  <c:v>94.329465461067286</c:v>
                </c:pt>
                <c:pt idx="78">
                  <c:v>94.335762256469863</c:v>
                </c:pt>
                <c:pt idx="79">
                  <c:v>94.341497953780944</c:v>
                </c:pt>
                <c:pt idx="80">
                  <c:v>94.346693423047483</c:v>
                </c:pt>
                <c:pt idx="81">
                  <c:v>94.351368521792182</c:v>
                </c:pt>
                <c:pt idx="82">
                  <c:v>94.35554215567366</c:v>
                </c:pt>
                <c:pt idx="83">
                  <c:v>94.35923233483733</c:v>
                </c:pt>
                <c:pt idx="84">
                  <c:v>94.362456226309718</c:v>
                </c:pt>
                <c:pt idx="85">
                  <c:v>94.365230202757076</c:v>
                </c:pt>
                <c:pt idx="86">
                  <c:v>94.367569887898668</c:v>
                </c:pt>
                <c:pt idx="87">
                  <c:v>94.369490198839983</c:v>
                </c:pt>
                <c:pt idx="88">
                  <c:v>94.371005385566562</c:v>
                </c:pt>
                <c:pt idx="89">
                  <c:v>94.372129067818292</c:v>
                </c:pt>
                <c:pt idx="90">
                  <c:v>94.37287426954461</c:v>
                </c:pt>
                <c:pt idx="91">
                  <c:v>94.373253451123816</c:v>
                </c:pt>
                <c:pt idx="92">
                  <c:v>94.373278539513876</c:v>
                </c:pt>
                <c:pt idx="93">
                  <c:v>94.372960956488086</c:v>
                </c:pt>
                <c:pt idx="94">
                  <c:v>94.372311645096062</c:v>
                </c:pt>
                <c:pt idx="95">
                  <c:v>94.371341094478694</c:v>
                </c:pt>
                <c:pt idx="96">
                  <c:v>94.370059363155363</c:v>
                </c:pt>
                <c:pt idx="97">
                  <c:v>94.36847610089221</c:v>
                </c:pt>
                <c:pt idx="98">
                  <c:v>94.36660056925102</c:v>
                </c:pt>
                <c:pt idx="99">
                  <c:v>94.36444166091087</c:v>
                </c:pt>
                <c:pt idx="100">
                  <c:v>94.362007917847137</c:v>
                </c:pt>
                <c:pt idx="101">
                  <c:v>94.359307548445912</c:v>
                </c:pt>
                <c:pt idx="102">
                  <c:v>94.35634844362599</c:v>
                </c:pt>
                <c:pt idx="103">
                  <c:v>94.353138192034677</c:v>
                </c:pt>
                <c:pt idx="104">
                  <c:v>94.349684094379128</c:v>
                </c:pt>
                <c:pt idx="105">
                  <c:v>94.345993176950032</c:v>
                </c:pt>
                <c:pt idx="106">
                  <c:v>94.342072204390035</c:v>
                </c:pt>
                <c:pt idx="107">
                  <c:v>94.337927691755993</c:v>
                </c:pt>
                <c:pt idx="108">
                  <c:v>94.33356591591992</c:v>
                </c:pt>
                <c:pt idx="109">
                  <c:v>94.328992926350608</c:v>
                </c:pt>
                <c:pt idx="110">
                  <c:v>94.32421455531501</c:v>
                </c:pt>
                <c:pt idx="111">
                  <c:v>94.319236427535245</c:v>
                </c:pt>
                <c:pt idx="112">
                  <c:v>94.314063969334867</c:v>
                </c:pt>
                <c:pt idx="113">
                  <c:v>94.308702417305881</c:v>
                </c:pt>
                <c:pt idx="114">
                  <c:v>94.303156826525068</c:v>
                </c:pt>
                <c:pt idx="115">
                  <c:v>94.297432078347285</c:v>
                </c:pt>
                <c:pt idx="116">
                  <c:v>94.291532887800543</c:v>
                </c:pt>
                <c:pt idx="117">
                  <c:v>94.285463810606416</c:v>
                </c:pt>
                <c:pt idx="118">
                  <c:v>94.279229249848143</c:v>
                </c:pt>
                <c:pt idx="119">
                  <c:v>94.27283346230621</c:v>
                </c:pt>
                <c:pt idx="120">
                  <c:v>94.266280564481306</c:v>
                </c:pt>
                <c:pt idx="121">
                  <c:v>94.259574538321957</c:v>
                </c:pt>
                <c:pt idx="122">
                  <c:v>94.252719236673812</c:v>
                </c:pt>
                <c:pt idx="123">
                  <c:v>94.245718388466386</c:v>
                </c:pt>
                <c:pt idx="124">
                  <c:v>94.238575603651654</c:v>
                </c:pt>
                <c:pt idx="125">
                  <c:v>94.231294377908199</c:v>
                </c:pt>
                <c:pt idx="126">
                  <c:v>94.223878097124128</c:v>
                </c:pt>
                <c:pt idx="127">
                  <c:v>94.21633004167056</c:v>
                </c:pt>
                <c:pt idx="128">
                  <c:v>94.208653390476854</c:v>
                </c:pt>
                <c:pt idx="129">
                  <c:v>94.20085122491875</c:v>
                </c:pt>
                <c:pt idx="130">
                  <c:v>94.192926532528674</c:v>
                </c:pt>
                <c:pt idx="131">
                  <c:v>94.184882210538319</c:v>
                </c:pt>
                <c:pt idx="132">
                  <c:v>94.176721069261717</c:v>
                </c:pt>
                <c:pt idx="133">
                  <c:v>94.168445835327447</c:v>
                </c:pt>
                <c:pt idx="134">
                  <c:v>94.160059154767666</c:v>
                </c:pt>
                <c:pt idx="135">
                  <c:v>94.151563595971368</c:v>
                </c:pt>
                <c:pt idx="136">
                  <c:v>94.142961652508589</c:v>
                </c:pt>
                <c:pt idx="137">
                  <c:v>94.134255745832419</c:v>
                </c:pt>
                <c:pt idx="138">
                  <c:v>94.125448227864567</c:v>
                </c:pt>
                <c:pt idx="139">
                  <c:v>94.116541383470647</c:v>
                </c:pt>
                <c:pt idx="140">
                  <c:v>94.107537432830384</c:v>
                </c:pt>
                <c:pt idx="141">
                  <c:v>94.098438533708034</c:v>
                </c:pt>
                <c:pt idx="142">
                  <c:v>94.089246783627772</c:v>
                </c:pt>
                <c:pt idx="143">
                  <c:v>94.079964221958818</c:v>
                </c:pt>
                <c:pt idx="144">
                  <c:v>94.070592831914553</c:v>
                </c:pt>
                <c:pt idx="145">
                  <c:v>94.061134542469588</c:v>
                </c:pt>
                <c:pt idx="146">
                  <c:v>94.05159123019908</c:v>
                </c:pt>
                <c:pt idx="147">
                  <c:v>94.041964721043485</c:v>
                </c:pt>
                <c:pt idx="148">
                  <c:v>94.032256792002556</c:v>
                </c:pt>
                <c:pt idx="149">
                  <c:v>94.022469172761831</c:v>
                </c:pt>
                <c:pt idx="150">
                  <c:v>94.012603547254557</c:v>
                </c:pt>
              </c:numCache>
            </c:numRef>
          </c:yVal>
          <c:smooth val="0"/>
          <c:extLst>
            <c:ext xmlns:c16="http://schemas.microsoft.com/office/drawing/2014/chart" uri="{C3380CC4-5D6E-409C-BE32-E72D297353CC}">
              <c16:uniqueId val="{00000000-F850-4D08-8BFC-748D436DD73B}"/>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6.4353984069163761E-2</c:v>
                </c:pt>
                <c:pt idx="2">
                  <c:v>0.11996207025341152</c:v>
                </c:pt>
                <c:pt idx="3">
                  <c:v>0.1758106853632791</c:v>
                </c:pt>
                <c:pt idx="4">
                  <c:v>0.23189982939876655</c:v>
                </c:pt>
                <c:pt idx="5">
                  <c:v>0.28822950235987377</c:v>
                </c:pt>
                <c:pt idx="6">
                  <c:v>0.34479970424660084</c:v>
                </c:pt>
                <c:pt idx="7">
                  <c:v>0.40161043505894795</c:v>
                </c:pt>
                <c:pt idx="8">
                  <c:v>0.4586616947969146</c:v>
                </c:pt>
                <c:pt idx="9">
                  <c:v>0.51595348346050118</c:v>
                </c:pt>
                <c:pt idx="10">
                  <c:v>0.57348580104970759</c:v>
                </c:pt>
                <c:pt idx="11">
                  <c:v>0.63125864756453398</c:v>
                </c:pt>
                <c:pt idx="12">
                  <c:v>0.68927202300497992</c:v>
                </c:pt>
                <c:pt idx="13">
                  <c:v>0.74752592737104606</c:v>
                </c:pt>
                <c:pt idx="14">
                  <c:v>0.80602036066273186</c:v>
                </c:pt>
                <c:pt idx="15">
                  <c:v>0.86475532288003731</c:v>
                </c:pt>
                <c:pt idx="16">
                  <c:v>0.92373081402296275</c:v>
                </c:pt>
                <c:pt idx="17">
                  <c:v>0.98294683409150818</c:v>
                </c:pt>
                <c:pt idx="18">
                  <c:v>1.0424033830856732</c:v>
                </c:pt>
                <c:pt idx="19">
                  <c:v>1.1021004610054583</c:v>
                </c:pt>
                <c:pt idx="20">
                  <c:v>1.1620380678508628</c:v>
                </c:pt>
                <c:pt idx="21">
                  <c:v>1.2222162036218873</c:v>
                </c:pt>
                <c:pt idx="22">
                  <c:v>1.282634868318532</c:v>
                </c:pt>
                <c:pt idx="23">
                  <c:v>1.3432940619407963</c:v>
                </c:pt>
                <c:pt idx="24">
                  <c:v>1.4041937844886803</c:v>
                </c:pt>
                <c:pt idx="25">
                  <c:v>1.4653340359621843</c:v>
                </c:pt>
                <c:pt idx="26">
                  <c:v>1.5267148163613082</c:v>
                </c:pt>
                <c:pt idx="27">
                  <c:v>1.5883361256860518</c:v>
                </c:pt>
                <c:pt idx="28">
                  <c:v>1.6501979639364157</c:v>
                </c:pt>
                <c:pt idx="29">
                  <c:v>1.7123003311123983</c:v>
                </c:pt>
                <c:pt idx="30">
                  <c:v>1.7746432272140018</c:v>
                </c:pt>
                <c:pt idx="31">
                  <c:v>1.8372266522412246</c:v>
                </c:pt>
                <c:pt idx="32">
                  <c:v>1.9000506061940674</c:v>
                </c:pt>
                <c:pt idx="33">
                  <c:v>1.96311508907253</c:v>
                </c:pt>
                <c:pt idx="34">
                  <c:v>2.0264201008766127</c:v>
                </c:pt>
                <c:pt idx="35">
                  <c:v>2.089965641606315</c:v>
                </c:pt>
                <c:pt idx="36">
                  <c:v>2.1537517112616369</c:v>
                </c:pt>
                <c:pt idx="37">
                  <c:v>2.2177783098425787</c:v>
                </c:pt>
                <c:pt idx="38">
                  <c:v>2.282045437349141</c:v>
                </c:pt>
                <c:pt idx="39">
                  <c:v>2.3465530937813224</c:v>
                </c:pt>
                <c:pt idx="40">
                  <c:v>2.4113012791391237</c:v>
                </c:pt>
                <c:pt idx="41">
                  <c:v>2.4762899934225455</c:v>
                </c:pt>
                <c:pt idx="42">
                  <c:v>2.541519236631586</c:v>
                </c:pt>
                <c:pt idx="43">
                  <c:v>2.6069890087662473</c:v>
                </c:pt>
                <c:pt idx="44">
                  <c:v>2.6726993098265281</c:v>
                </c:pt>
                <c:pt idx="45">
                  <c:v>2.7386501398124281</c:v>
                </c:pt>
                <c:pt idx="46">
                  <c:v>2.8048414987239489</c:v>
                </c:pt>
                <c:pt idx="47">
                  <c:v>2.8712733865610898</c:v>
                </c:pt>
                <c:pt idx="48">
                  <c:v>2.9379458033238492</c:v>
                </c:pt>
                <c:pt idx="49">
                  <c:v>3.0048587490122292</c:v>
                </c:pt>
                <c:pt idx="50">
                  <c:v>3.0720122236262291</c:v>
                </c:pt>
                <c:pt idx="51">
                  <c:v>3.1394062271658489</c:v>
                </c:pt>
                <c:pt idx="52">
                  <c:v>3.2070407596310893</c:v>
                </c:pt>
                <c:pt idx="53">
                  <c:v>3.2749158210219478</c:v>
                </c:pt>
                <c:pt idx="54">
                  <c:v>3.3430314113384272</c:v>
                </c:pt>
                <c:pt idx="55">
                  <c:v>3.4113875305805261</c:v>
                </c:pt>
                <c:pt idx="56">
                  <c:v>3.4799841787482455</c:v>
                </c:pt>
                <c:pt idx="57">
                  <c:v>3.5488213558415844</c:v>
                </c:pt>
                <c:pt idx="58">
                  <c:v>3.6178990618605416</c:v>
                </c:pt>
                <c:pt idx="59">
                  <c:v>3.68721729680512</c:v>
                </c:pt>
                <c:pt idx="60">
                  <c:v>3.7567760606753189</c:v>
                </c:pt>
                <c:pt idx="61">
                  <c:v>3.826575353471136</c:v>
                </c:pt>
                <c:pt idx="62">
                  <c:v>3.8966151751925744</c:v>
                </c:pt>
                <c:pt idx="63">
                  <c:v>3.9668955258396323</c:v>
                </c:pt>
                <c:pt idx="64">
                  <c:v>4.0374164054123094</c:v>
                </c:pt>
                <c:pt idx="65">
                  <c:v>4.108177813910606</c:v>
                </c:pt>
                <c:pt idx="66">
                  <c:v>4.1791797513345239</c:v>
                </c:pt>
                <c:pt idx="67">
                  <c:v>4.2504222176840605</c:v>
                </c:pt>
                <c:pt idx="68">
                  <c:v>4.3219052129592184</c:v>
                </c:pt>
                <c:pt idx="69">
                  <c:v>4.3936287371599949</c:v>
                </c:pt>
                <c:pt idx="70">
                  <c:v>4.4655927902863919</c:v>
                </c:pt>
                <c:pt idx="71">
                  <c:v>4.5377973723384075</c:v>
                </c:pt>
                <c:pt idx="72">
                  <c:v>4.6102424833160436</c:v>
                </c:pt>
                <c:pt idx="73">
                  <c:v>4.6829281232192992</c:v>
                </c:pt>
                <c:pt idx="74">
                  <c:v>4.7558542920481752</c:v>
                </c:pt>
                <c:pt idx="75">
                  <c:v>4.8290209898026717</c:v>
                </c:pt>
                <c:pt idx="76">
                  <c:v>4.9024282164827877</c:v>
                </c:pt>
                <c:pt idx="77">
                  <c:v>4.9760759720885233</c:v>
                </c:pt>
                <c:pt idx="78">
                  <c:v>5.0499642566198775</c:v>
                </c:pt>
                <c:pt idx="79">
                  <c:v>5.1240930700768521</c:v>
                </c:pt>
                <c:pt idx="80">
                  <c:v>5.1984624124594472</c:v>
                </c:pt>
                <c:pt idx="81">
                  <c:v>5.2730722837676609</c:v>
                </c:pt>
                <c:pt idx="82">
                  <c:v>5.3479226840014968</c:v>
                </c:pt>
                <c:pt idx="83">
                  <c:v>5.4230136131609505</c:v>
                </c:pt>
                <c:pt idx="84">
                  <c:v>5.4983450712460238</c:v>
                </c:pt>
                <c:pt idx="85">
                  <c:v>5.5739170582567183</c:v>
                </c:pt>
                <c:pt idx="86">
                  <c:v>5.6497295741930333</c:v>
                </c:pt>
                <c:pt idx="87">
                  <c:v>5.7257826190549661</c:v>
                </c:pt>
                <c:pt idx="88">
                  <c:v>5.8020761928425211</c:v>
                </c:pt>
                <c:pt idx="89">
                  <c:v>5.8786102955556938</c:v>
                </c:pt>
                <c:pt idx="90">
                  <c:v>5.9553849271944861</c:v>
                </c:pt>
                <c:pt idx="91">
                  <c:v>6.0324000877588997</c:v>
                </c:pt>
                <c:pt idx="92">
                  <c:v>6.1096557772489328</c:v>
                </c:pt>
                <c:pt idx="93">
                  <c:v>6.1871519956645855</c:v>
                </c:pt>
                <c:pt idx="94">
                  <c:v>6.2648887430058586</c:v>
                </c:pt>
                <c:pt idx="95">
                  <c:v>6.3428660192727513</c:v>
                </c:pt>
                <c:pt idx="96">
                  <c:v>6.4210838244652617</c:v>
                </c:pt>
                <c:pt idx="97">
                  <c:v>6.4995421585833943</c:v>
                </c:pt>
                <c:pt idx="98">
                  <c:v>6.5782410216271456</c:v>
                </c:pt>
                <c:pt idx="99">
                  <c:v>6.6571804135965174</c:v>
                </c:pt>
                <c:pt idx="100">
                  <c:v>6.7363603344915095</c:v>
                </c:pt>
                <c:pt idx="101">
                  <c:v>6.8157807843121221</c:v>
                </c:pt>
                <c:pt idx="102">
                  <c:v>6.8954417630583524</c:v>
                </c:pt>
                <c:pt idx="103">
                  <c:v>6.9753432707302032</c:v>
                </c:pt>
                <c:pt idx="104">
                  <c:v>7.0554853073276753</c:v>
                </c:pt>
                <c:pt idx="105">
                  <c:v>7.1358678728507652</c:v>
                </c:pt>
                <c:pt idx="106">
                  <c:v>7.2164909672994746</c:v>
                </c:pt>
                <c:pt idx="107">
                  <c:v>7.2973545906738053</c:v>
                </c:pt>
                <c:pt idx="108">
                  <c:v>7.3784587429737565</c:v>
                </c:pt>
                <c:pt idx="109">
                  <c:v>7.4598034241993263</c:v>
                </c:pt>
                <c:pt idx="110">
                  <c:v>7.5413886343505165</c:v>
                </c:pt>
                <c:pt idx="111">
                  <c:v>7.6232143734273263</c:v>
                </c:pt>
                <c:pt idx="112">
                  <c:v>7.7052806414297574</c:v>
                </c:pt>
                <c:pt idx="113">
                  <c:v>7.7875874383578054</c:v>
                </c:pt>
                <c:pt idx="114">
                  <c:v>7.8701347642114765</c:v>
                </c:pt>
                <c:pt idx="115">
                  <c:v>7.9529226189907645</c:v>
                </c:pt>
                <c:pt idx="116">
                  <c:v>8.0359510026956702</c:v>
                </c:pt>
                <c:pt idx="117">
                  <c:v>8.1192199153261999</c:v>
                </c:pt>
                <c:pt idx="118">
                  <c:v>8.2027293568823492</c:v>
                </c:pt>
                <c:pt idx="119">
                  <c:v>8.286479327364118</c:v>
                </c:pt>
                <c:pt idx="120">
                  <c:v>8.3704698267715063</c:v>
                </c:pt>
                <c:pt idx="121">
                  <c:v>8.4547008551045124</c:v>
                </c:pt>
                <c:pt idx="122">
                  <c:v>8.5391724123631416</c:v>
                </c:pt>
                <c:pt idx="123">
                  <c:v>8.6238844985473868</c:v>
                </c:pt>
                <c:pt idx="124">
                  <c:v>8.7088371136572569</c:v>
                </c:pt>
                <c:pt idx="125">
                  <c:v>8.7940302576927429</c:v>
                </c:pt>
                <c:pt idx="126">
                  <c:v>8.8794639306538521</c:v>
                </c:pt>
                <c:pt idx="127">
                  <c:v>8.965138132540579</c:v>
                </c:pt>
                <c:pt idx="128">
                  <c:v>9.0510528633529255</c:v>
                </c:pt>
                <c:pt idx="129">
                  <c:v>9.1372081230908933</c:v>
                </c:pt>
                <c:pt idx="130">
                  <c:v>9.2236039117544788</c:v>
                </c:pt>
                <c:pt idx="131">
                  <c:v>9.3102402293436857</c:v>
                </c:pt>
                <c:pt idx="132">
                  <c:v>9.3971170758585121</c:v>
                </c:pt>
                <c:pt idx="133">
                  <c:v>9.484234451298958</c:v>
                </c:pt>
                <c:pt idx="134">
                  <c:v>9.5715923556650235</c:v>
                </c:pt>
                <c:pt idx="135">
                  <c:v>9.6591907889567103</c:v>
                </c:pt>
                <c:pt idx="136">
                  <c:v>9.7470297511740167</c:v>
                </c:pt>
                <c:pt idx="137">
                  <c:v>9.8351092423169408</c:v>
                </c:pt>
                <c:pt idx="138">
                  <c:v>9.9234292623854863</c:v>
                </c:pt>
                <c:pt idx="139">
                  <c:v>10.011989811379653</c:v>
                </c:pt>
                <c:pt idx="140">
                  <c:v>10.100790889299438</c:v>
                </c:pt>
                <c:pt idx="141">
                  <c:v>10.189832496144842</c:v>
                </c:pt>
                <c:pt idx="142">
                  <c:v>10.279114631915865</c:v>
                </c:pt>
                <c:pt idx="143">
                  <c:v>10.36863729661251</c:v>
                </c:pt>
                <c:pt idx="144">
                  <c:v>10.458400490234773</c:v>
                </c:pt>
                <c:pt idx="145">
                  <c:v>10.548404212782659</c:v>
                </c:pt>
                <c:pt idx="146">
                  <c:v>10.638648464256162</c:v>
                </c:pt>
                <c:pt idx="147">
                  <c:v>10.729133244655285</c:v>
                </c:pt>
                <c:pt idx="148">
                  <c:v>10.81985855398003</c:v>
                </c:pt>
                <c:pt idx="149">
                  <c:v>10.910824392230392</c:v>
                </c:pt>
                <c:pt idx="150">
                  <c:v>11.002030759406377</c:v>
                </c:pt>
              </c:numCache>
            </c:numRef>
          </c:yVal>
          <c:smooth val="1"/>
          <c:extLst>
            <c:ext xmlns:c16="http://schemas.microsoft.com/office/drawing/2014/chart" uri="{C3380CC4-5D6E-409C-BE32-E72D297353CC}">
              <c16:uniqueId val="{00000001-F850-4D08-8BFC-748D436DD73B}"/>
            </c:ext>
          </c:extLst>
        </c:ser>
        <c:ser>
          <c:idx val="2"/>
          <c:order val="2"/>
          <c:tx>
            <c:v>Diode</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3.727916973194078E-2</c:v>
                </c:pt>
                <c:pt idx="1">
                  <c:v>3.96448424592135E-2</c:v>
                </c:pt>
                <c:pt idx="2">
                  <c:v>4.2072769731940775E-2</c:v>
                </c:pt>
                <c:pt idx="3">
                  <c:v>4.456295155012259E-2</c:v>
                </c:pt>
                <c:pt idx="4">
                  <c:v>4.7115387913758959E-2</c:v>
                </c:pt>
                <c:pt idx="5">
                  <c:v>4.9730078822849869E-2</c:v>
                </c:pt>
                <c:pt idx="6">
                  <c:v>5.2407024277395325E-2</c:v>
                </c:pt>
                <c:pt idx="7">
                  <c:v>5.5146224277395323E-2</c:v>
                </c:pt>
                <c:pt idx="8">
                  <c:v>5.7947678822849867E-2</c:v>
                </c:pt>
                <c:pt idx="9">
                  <c:v>6.0811387913758959E-2</c:v>
                </c:pt>
                <c:pt idx="10">
                  <c:v>6.3737351550122598E-2</c:v>
                </c:pt>
                <c:pt idx="11">
                  <c:v>6.6725569731940784E-2</c:v>
                </c:pt>
                <c:pt idx="12">
                  <c:v>6.9776042459213511E-2</c:v>
                </c:pt>
                <c:pt idx="13">
                  <c:v>7.2888769731940778E-2</c:v>
                </c:pt>
                <c:pt idx="14">
                  <c:v>7.6063751550122613E-2</c:v>
                </c:pt>
                <c:pt idx="15">
                  <c:v>7.9300987913758975E-2</c:v>
                </c:pt>
                <c:pt idx="16">
                  <c:v>8.2600478822849877E-2</c:v>
                </c:pt>
                <c:pt idx="17">
                  <c:v>8.5962224277395347E-2</c:v>
                </c:pt>
                <c:pt idx="18">
                  <c:v>8.9386224277395315E-2</c:v>
                </c:pt>
                <c:pt idx="19">
                  <c:v>9.287247882284988E-2</c:v>
                </c:pt>
                <c:pt idx="20">
                  <c:v>9.6420987913758957E-2</c:v>
                </c:pt>
                <c:pt idx="21">
                  <c:v>0.10003175155012259</c:v>
                </c:pt>
                <c:pt idx="22">
                  <c:v>0.10370476973194079</c:v>
                </c:pt>
                <c:pt idx="23">
                  <c:v>0.1074400424592135</c:v>
                </c:pt>
                <c:pt idx="24">
                  <c:v>0.11123756973194079</c:v>
                </c:pt>
                <c:pt idx="25">
                  <c:v>0.11509735155012259</c:v>
                </c:pt>
                <c:pt idx="26">
                  <c:v>0.11901938791375896</c:v>
                </c:pt>
                <c:pt idx="27">
                  <c:v>0.12300367882284989</c:v>
                </c:pt>
                <c:pt idx="28">
                  <c:v>0.12705022427739537</c:v>
                </c:pt>
                <c:pt idx="29">
                  <c:v>0.13115902427739531</c:v>
                </c:pt>
                <c:pt idx="30">
                  <c:v>0.13533007882284989</c:v>
                </c:pt>
                <c:pt idx="31">
                  <c:v>0.13956338791375894</c:v>
                </c:pt>
                <c:pt idx="32">
                  <c:v>0.14385895155012263</c:v>
                </c:pt>
                <c:pt idx="33">
                  <c:v>0.14821676973194081</c:v>
                </c:pt>
                <c:pt idx="34">
                  <c:v>0.1526368424592135</c:v>
                </c:pt>
                <c:pt idx="35">
                  <c:v>0.15711916973194079</c:v>
                </c:pt>
                <c:pt idx="36">
                  <c:v>0.16166375155012261</c:v>
                </c:pt>
                <c:pt idx="37">
                  <c:v>0.16627058791375893</c:v>
                </c:pt>
                <c:pt idx="38">
                  <c:v>0.17093967882284991</c:v>
                </c:pt>
                <c:pt idx="39">
                  <c:v>0.17567102427739534</c:v>
                </c:pt>
                <c:pt idx="40">
                  <c:v>0.18046462427739537</c:v>
                </c:pt>
                <c:pt idx="41">
                  <c:v>0.18532047882284991</c:v>
                </c:pt>
                <c:pt idx="42">
                  <c:v>0.19023858791375892</c:v>
                </c:pt>
                <c:pt idx="43">
                  <c:v>0.19521895155012256</c:v>
                </c:pt>
                <c:pt idx="44">
                  <c:v>0.20026156973194081</c:v>
                </c:pt>
                <c:pt idx="45">
                  <c:v>0.20536644245921354</c:v>
                </c:pt>
                <c:pt idx="46">
                  <c:v>0.21053356973194076</c:v>
                </c:pt>
                <c:pt idx="47">
                  <c:v>0.21576295155012259</c:v>
                </c:pt>
                <c:pt idx="48">
                  <c:v>0.22105458791375895</c:v>
                </c:pt>
                <c:pt idx="49">
                  <c:v>0.2264084788228499</c:v>
                </c:pt>
                <c:pt idx="50">
                  <c:v>0.23182462427739531</c:v>
                </c:pt>
                <c:pt idx="51">
                  <c:v>0.2373030242773953</c:v>
                </c:pt>
                <c:pt idx="52">
                  <c:v>0.24284367882284988</c:v>
                </c:pt>
                <c:pt idx="53">
                  <c:v>0.24844658791375895</c:v>
                </c:pt>
                <c:pt idx="54">
                  <c:v>0.25411175155012256</c:v>
                </c:pt>
                <c:pt idx="55">
                  <c:v>0.25983916973194082</c:v>
                </c:pt>
                <c:pt idx="56">
                  <c:v>0.26562884245921353</c:v>
                </c:pt>
                <c:pt idx="57">
                  <c:v>0.27148076973194085</c:v>
                </c:pt>
                <c:pt idx="58">
                  <c:v>0.27739495155012261</c:v>
                </c:pt>
                <c:pt idx="59">
                  <c:v>0.28337138791375888</c:v>
                </c:pt>
                <c:pt idx="60">
                  <c:v>0.28941007882284991</c:v>
                </c:pt>
                <c:pt idx="61">
                  <c:v>0.29551102427739534</c:v>
                </c:pt>
                <c:pt idx="62">
                  <c:v>0.30167422427739538</c:v>
                </c:pt>
                <c:pt idx="63">
                  <c:v>0.30789967882284985</c:v>
                </c:pt>
                <c:pt idx="64">
                  <c:v>0.314187387913759</c:v>
                </c:pt>
                <c:pt idx="65">
                  <c:v>0.32053735155012258</c:v>
                </c:pt>
                <c:pt idx="66">
                  <c:v>0.32694956973194084</c:v>
                </c:pt>
                <c:pt idx="67">
                  <c:v>0.33342404245921342</c:v>
                </c:pt>
                <c:pt idx="68">
                  <c:v>0.33996076973194084</c:v>
                </c:pt>
                <c:pt idx="69">
                  <c:v>0.34655975155012264</c:v>
                </c:pt>
                <c:pt idx="70">
                  <c:v>0.35322098791375905</c:v>
                </c:pt>
                <c:pt idx="71">
                  <c:v>0.35994447882284986</c:v>
                </c:pt>
                <c:pt idx="72">
                  <c:v>0.36673022427739532</c:v>
                </c:pt>
                <c:pt idx="73">
                  <c:v>0.3735782242773954</c:v>
                </c:pt>
                <c:pt idx="74">
                  <c:v>0.38048847882284981</c:v>
                </c:pt>
                <c:pt idx="75">
                  <c:v>0.38746098791375905</c:v>
                </c:pt>
                <c:pt idx="76">
                  <c:v>0.39449575155012273</c:v>
                </c:pt>
                <c:pt idx="77">
                  <c:v>0.4015927697319408</c:v>
                </c:pt>
                <c:pt idx="78">
                  <c:v>0.40875204245921359</c:v>
                </c:pt>
                <c:pt idx="79">
                  <c:v>0.41597356973194088</c:v>
                </c:pt>
                <c:pt idx="80">
                  <c:v>0.42325735155012273</c:v>
                </c:pt>
                <c:pt idx="81">
                  <c:v>0.43060338791375896</c:v>
                </c:pt>
                <c:pt idx="82">
                  <c:v>0.43801167882285003</c:v>
                </c:pt>
                <c:pt idx="83">
                  <c:v>0.44548222427739537</c:v>
                </c:pt>
                <c:pt idx="84">
                  <c:v>0.45301502427739515</c:v>
                </c:pt>
                <c:pt idx="85">
                  <c:v>0.46061007882284982</c:v>
                </c:pt>
                <c:pt idx="86">
                  <c:v>0.46826738791375899</c:v>
                </c:pt>
                <c:pt idx="87">
                  <c:v>0.47598695155012261</c:v>
                </c:pt>
                <c:pt idx="88">
                  <c:v>0.48376876973194094</c:v>
                </c:pt>
                <c:pt idx="89">
                  <c:v>0.49161284245921366</c:v>
                </c:pt>
                <c:pt idx="90">
                  <c:v>0.49951916973194077</c:v>
                </c:pt>
                <c:pt idx="91">
                  <c:v>0.5074877515501226</c:v>
                </c:pt>
                <c:pt idx="92">
                  <c:v>0.51551858791375904</c:v>
                </c:pt>
                <c:pt idx="93">
                  <c:v>0.52361167882284998</c:v>
                </c:pt>
                <c:pt idx="94">
                  <c:v>0.53176702427739553</c:v>
                </c:pt>
                <c:pt idx="95">
                  <c:v>0.53998462427739535</c:v>
                </c:pt>
                <c:pt idx="96">
                  <c:v>0.5482644788228499</c:v>
                </c:pt>
                <c:pt idx="97">
                  <c:v>0.55660658791375905</c:v>
                </c:pt>
                <c:pt idx="98">
                  <c:v>0.56501095155012271</c:v>
                </c:pt>
                <c:pt idx="99">
                  <c:v>0.57347756973194075</c:v>
                </c:pt>
                <c:pt idx="100">
                  <c:v>0.58200644245921351</c:v>
                </c:pt>
                <c:pt idx="101">
                  <c:v>0.59059756973194077</c:v>
                </c:pt>
                <c:pt idx="102">
                  <c:v>0.59925095155012253</c:v>
                </c:pt>
                <c:pt idx="103">
                  <c:v>0.60796658791375902</c:v>
                </c:pt>
                <c:pt idx="104">
                  <c:v>0.61674447882285</c:v>
                </c:pt>
                <c:pt idx="105">
                  <c:v>0.62558462427739536</c:v>
                </c:pt>
                <c:pt idx="106">
                  <c:v>0.63448702427739523</c:v>
                </c:pt>
                <c:pt idx="107">
                  <c:v>0.64345167882284982</c:v>
                </c:pt>
                <c:pt idx="108">
                  <c:v>0.6524785879137589</c:v>
                </c:pt>
                <c:pt idx="109">
                  <c:v>0.6615677515501226</c:v>
                </c:pt>
                <c:pt idx="110">
                  <c:v>0.67071916973194079</c:v>
                </c:pt>
                <c:pt idx="111">
                  <c:v>0.6799328424592137</c:v>
                </c:pt>
                <c:pt idx="112">
                  <c:v>0.68920876973194112</c:v>
                </c:pt>
                <c:pt idx="113">
                  <c:v>0.6985469515501227</c:v>
                </c:pt>
                <c:pt idx="114">
                  <c:v>0.70794738791375922</c:v>
                </c:pt>
                <c:pt idx="115">
                  <c:v>0.71741007882284991</c:v>
                </c:pt>
                <c:pt idx="116">
                  <c:v>0.72693502427739531</c:v>
                </c:pt>
                <c:pt idx="117">
                  <c:v>0.73652222427739533</c:v>
                </c:pt>
                <c:pt idx="118">
                  <c:v>0.74617167882284974</c:v>
                </c:pt>
                <c:pt idx="119">
                  <c:v>0.75588338791375898</c:v>
                </c:pt>
                <c:pt idx="120">
                  <c:v>0.7656573515501226</c:v>
                </c:pt>
                <c:pt idx="121">
                  <c:v>0.77549356973194072</c:v>
                </c:pt>
                <c:pt idx="122">
                  <c:v>0.78539204245921357</c:v>
                </c:pt>
                <c:pt idx="123">
                  <c:v>0.79535276973194047</c:v>
                </c:pt>
                <c:pt idx="124">
                  <c:v>0.80537575155012275</c:v>
                </c:pt>
                <c:pt idx="125">
                  <c:v>0.81546098791375887</c:v>
                </c:pt>
                <c:pt idx="126">
                  <c:v>0.82560847882284971</c:v>
                </c:pt>
                <c:pt idx="127">
                  <c:v>0.83581822427739572</c:v>
                </c:pt>
                <c:pt idx="128">
                  <c:v>0.84609022427739533</c:v>
                </c:pt>
                <c:pt idx="129">
                  <c:v>0.85642447882285</c:v>
                </c:pt>
                <c:pt idx="130">
                  <c:v>0.86682098791375894</c:v>
                </c:pt>
                <c:pt idx="131">
                  <c:v>0.87727975155012283</c:v>
                </c:pt>
                <c:pt idx="132">
                  <c:v>0.887800769731941</c:v>
                </c:pt>
                <c:pt idx="133">
                  <c:v>0.89838404245921366</c:v>
                </c:pt>
                <c:pt idx="134">
                  <c:v>0.90902956973194082</c:v>
                </c:pt>
                <c:pt idx="135">
                  <c:v>0.91973735155012271</c:v>
                </c:pt>
                <c:pt idx="136">
                  <c:v>0.93050738791375909</c:v>
                </c:pt>
                <c:pt idx="137">
                  <c:v>0.94133967882284986</c:v>
                </c:pt>
                <c:pt idx="138">
                  <c:v>0.95223422427739557</c:v>
                </c:pt>
                <c:pt idx="139">
                  <c:v>0.96319102427739556</c:v>
                </c:pt>
                <c:pt idx="140">
                  <c:v>0.97421007882285005</c:v>
                </c:pt>
                <c:pt idx="141">
                  <c:v>0.98529138791375903</c:v>
                </c:pt>
                <c:pt idx="142">
                  <c:v>0.99643495155012263</c:v>
                </c:pt>
                <c:pt idx="143">
                  <c:v>1.0076407697319405</c:v>
                </c:pt>
                <c:pt idx="144">
                  <c:v>1.0189088424592134</c:v>
                </c:pt>
                <c:pt idx="145">
                  <c:v>1.0302391697319409</c:v>
                </c:pt>
                <c:pt idx="146">
                  <c:v>1.0416317515501226</c:v>
                </c:pt>
                <c:pt idx="147">
                  <c:v>1.053086587913759</c:v>
                </c:pt>
                <c:pt idx="148">
                  <c:v>1.0646036788228499</c:v>
                </c:pt>
                <c:pt idx="149">
                  <c:v>1.0761830242773953</c:v>
                </c:pt>
                <c:pt idx="150">
                  <c:v>1.0878246242773955</c:v>
                </c:pt>
              </c:numCache>
            </c:numRef>
          </c:yVal>
          <c:smooth val="1"/>
          <c:extLst>
            <c:ext xmlns:c16="http://schemas.microsoft.com/office/drawing/2014/chart" uri="{C3380CC4-5D6E-409C-BE32-E72D297353CC}">
              <c16:uniqueId val="{00000002-F850-4D08-8BFC-748D436DD73B}"/>
            </c:ext>
          </c:extLst>
        </c:ser>
        <c:ser>
          <c:idx val="3"/>
          <c:order val="3"/>
          <c:tx>
            <c:v>RCS</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F850-4D08-8BFC-748D436DD73B}"/>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DE"/>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39.605233997823277</c:v>
                </c:pt>
                <c:pt idx="2">
                  <c:v>56.300567073946027</c:v>
                </c:pt>
                <c:pt idx="3">
                  <c:v>65.499857597212269</c:v>
                </c:pt>
                <c:pt idx="4">
                  <c:v>71.322600980761948</c:v>
                </c:pt>
                <c:pt idx="5">
                  <c:v>75.337109292835365</c:v>
                </c:pt>
                <c:pt idx="6">
                  <c:v>78.270658931662496</c:v>
                </c:pt>
                <c:pt idx="7">
                  <c:v>80.506617955972743</c:v>
                </c:pt>
                <c:pt idx="8">
                  <c:v>82.266235877461341</c:v>
                </c:pt>
                <c:pt idx="9">
                  <c:v>83.686145919538035</c:v>
                </c:pt>
                <c:pt idx="10">
                  <c:v>84.855286481326146</c:v>
                </c:pt>
                <c:pt idx="11">
                  <c:v>85.834041916091294</c:v>
                </c:pt>
                <c:pt idx="12">
                  <c:v>86.664850354494575</c:v>
                </c:pt>
                <c:pt idx="13">
                  <c:v>87.378409623702495</c:v>
                </c:pt>
                <c:pt idx="14">
                  <c:v>87.997474497114126</c:v>
                </c:pt>
                <c:pt idx="15">
                  <c:v>88.539269682657135</c:v>
                </c:pt>
                <c:pt idx="16">
                  <c:v>89.01707355591239</c:v>
                </c:pt>
                <c:pt idx="17">
                  <c:v>89.441287107970695</c:v>
                </c:pt>
                <c:pt idx="18">
                  <c:v>89.820173292510859</c:v>
                </c:pt>
                <c:pt idx="19">
                  <c:v>90.160379544491732</c:v>
                </c:pt>
                <c:pt idx="20">
                  <c:v>90.467314200771426</c:v>
                </c:pt>
                <c:pt idx="21">
                  <c:v>90.745422358452785</c:v>
                </c:pt>
                <c:pt idx="22">
                  <c:v>90.998391178083054</c:v>
                </c:pt>
                <c:pt idx="23">
                  <c:v>91.229304824148855</c:v>
                </c:pt>
                <c:pt idx="24">
                  <c:v>91.440762890210337</c:v>
                </c:pt>
                <c:pt idx="25">
                  <c:v>91.634971969204187</c:v>
                </c:pt>
                <c:pt idx="26">
                  <c:v>91.813817214908255</c:v>
                </c:pt>
                <c:pt idx="27">
                  <c:v>91.97891881610704</c:v>
                </c:pt>
                <c:pt idx="28">
                  <c:v>92.131676968482878</c:v>
                </c:pt>
                <c:pt idx="29">
                  <c:v>92.273307987656366</c:v>
                </c:pt>
                <c:pt idx="30">
                  <c:v>92.404873534578172</c:v>
                </c:pt>
                <c:pt idx="31">
                  <c:v>92.527304438641295</c:v>
                </c:pt>
                <c:pt idx="32">
                  <c:v>92.641420248733112</c:v>
                </c:pt>
                <c:pt idx="33">
                  <c:v>92.747945380054801</c:v>
                </c:pt>
                <c:pt idx="34">
                  <c:v>92.847522528741663</c:v>
                </c:pt>
                <c:pt idx="35">
                  <c:v>92.940723878858179</c:v>
                </c:pt>
                <c:pt idx="36">
                  <c:v>93.028060514309047</c:v>
                </c:pt>
                <c:pt idx="37">
                  <c:v>93.109990362393518</c:v>
                </c:pt>
                <c:pt idx="38">
                  <c:v>93.186924929488896</c:v>
                </c:pt>
                <c:pt idx="39">
                  <c:v>93.259235037842487</c:v>
                </c:pt>
                <c:pt idx="40">
                  <c:v>93.327255732126929</c:v>
                </c:pt>
                <c:pt idx="41">
                  <c:v>93.391290492635747</c:v>
                </c:pt>
                <c:pt idx="42">
                  <c:v>93.451614866799503</c:v>
                </c:pt>
                <c:pt idx="43">
                  <c:v>93.508479610607495</c:v>
                </c:pt>
                <c:pt idx="44">
                  <c:v>93.562113415401839</c:v>
                </c:pt>
                <c:pt idx="45">
                  <c:v>93.612725282516379</c:v>
                </c:pt>
                <c:pt idx="46">
                  <c:v>93.660506597701882</c:v>
                </c:pt>
                <c:pt idx="47">
                  <c:v>93.705632948703936</c:v>
                </c:pt>
                <c:pt idx="48">
                  <c:v>93.748265722345337</c:v>
                </c:pt>
                <c:pt idx="49">
                  <c:v>93.788553511702048</c:v>
                </c:pt>
                <c:pt idx="50">
                  <c:v>93.826633359205474</c:v>
                </c:pt>
                <c:pt idx="51">
                  <c:v>93.862631857564665</c:v>
                </c:pt>
                <c:pt idx="52">
                  <c:v>93.896666127125812</c:v>
                </c:pt>
                <c:pt idx="53">
                  <c:v>93.928844685551709</c:v>
                </c:pt>
                <c:pt idx="54">
                  <c:v>93.959268223411769</c:v>
                </c:pt>
                <c:pt idx="55">
                  <c:v>93.988030297349127</c:v>
                </c:pt>
                <c:pt idx="56">
                  <c:v>94.015217950865122</c:v>
                </c:pt>
                <c:pt idx="57">
                  <c:v>94.040912271389288</c:v>
                </c:pt>
                <c:pt idx="58">
                  <c:v>94.065188891135108</c:v>
                </c:pt>
                <c:pt idx="59">
                  <c:v>94.088118438250675</c:v>
                </c:pt>
                <c:pt idx="60">
                  <c:v>94.10976694392501</c:v>
                </c:pt>
                <c:pt idx="61">
                  <c:v>94.130196210386742</c:v>
                </c:pt>
                <c:pt idx="62">
                  <c:v>94.149464144108492</c:v>
                </c:pt>
                <c:pt idx="63">
                  <c:v>94.167625057996034</c:v>
                </c:pt>
                <c:pt idx="64">
                  <c:v>94.184729945878573</c:v>
                </c:pt>
                <c:pt idx="65">
                  <c:v>94.200826732217436</c:v>
                </c:pt>
                <c:pt idx="66">
                  <c:v>94.215960499605316</c:v>
                </c:pt>
                <c:pt idx="67">
                  <c:v>94.230173696326446</c:v>
                </c:pt>
                <c:pt idx="68">
                  <c:v>94.243506325987198</c:v>
                </c:pt>
                <c:pt idx="69">
                  <c:v>94.255996120998759</c:v>
                </c:pt>
                <c:pt idx="70">
                  <c:v>94.267678701493267</c:v>
                </c:pt>
                <c:pt idx="71">
                  <c:v>94.278587721080953</c:v>
                </c:pt>
                <c:pt idx="72">
                  <c:v>94.288755000701897</c:v>
                </c:pt>
                <c:pt idx="73">
                  <c:v>94.298210651692088</c:v>
                </c:pt>
                <c:pt idx="74">
                  <c:v>94.306983189063814</c:v>
                </c:pt>
                <c:pt idx="75">
                  <c:v>94.3150996358969</c:v>
                </c:pt>
                <c:pt idx="76">
                  <c:v>94.322585619643277</c:v>
                </c:pt>
                <c:pt idx="77">
                  <c:v>94.329465461067286</c:v>
                </c:pt>
                <c:pt idx="78">
                  <c:v>94.335762256469863</c:v>
                </c:pt>
                <c:pt idx="79">
                  <c:v>94.341497953780944</c:v>
                </c:pt>
                <c:pt idx="80">
                  <c:v>94.346693423047483</c:v>
                </c:pt>
                <c:pt idx="81">
                  <c:v>94.351368521792182</c:v>
                </c:pt>
                <c:pt idx="82">
                  <c:v>94.35554215567366</c:v>
                </c:pt>
                <c:pt idx="83">
                  <c:v>94.35923233483733</c:v>
                </c:pt>
                <c:pt idx="84">
                  <c:v>94.362456226309718</c:v>
                </c:pt>
                <c:pt idx="85">
                  <c:v>94.365230202757076</c:v>
                </c:pt>
                <c:pt idx="86">
                  <c:v>94.367569887898668</c:v>
                </c:pt>
                <c:pt idx="87">
                  <c:v>94.369490198839983</c:v>
                </c:pt>
                <c:pt idx="88">
                  <c:v>94.371005385566562</c:v>
                </c:pt>
                <c:pt idx="89">
                  <c:v>94.372129067818292</c:v>
                </c:pt>
                <c:pt idx="90">
                  <c:v>94.37287426954461</c:v>
                </c:pt>
                <c:pt idx="91">
                  <c:v>94.373253451123816</c:v>
                </c:pt>
                <c:pt idx="92">
                  <c:v>94.373278539513876</c:v>
                </c:pt>
                <c:pt idx="93">
                  <c:v>94.372960956488086</c:v>
                </c:pt>
                <c:pt idx="94">
                  <c:v>94.372311645096062</c:v>
                </c:pt>
                <c:pt idx="95">
                  <c:v>94.371341094478694</c:v>
                </c:pt>
                <c:pt idx="96">
                  <c:v>94.370059363155363</c:v>
                </c:pt>
                <c:pt idx="97">
                  <c:v>94.36847610089221</c:v>
                </c:pt>
                <c:pt idx="98">
                  <c:v>94.36660056925102</c:v>
                </c:pt>
                <c:pt idx="99">
                  <c:v>94.36444166091087</c:v>
                </c:pt>
                <c:pt idx="100">
                  <c:v>94.362007917847137</c:v>
                </c:pt>
                <c:pt idx="101">
                  <c:v>94.359307548445912</c:v>
                </c:pt>
                <c:pt idx="102">
                  <c:v>94.35634844362599</c:v>
                </c:pt>
                <c:pt idx="103">
                  <c:v>94.353138192034677</c:v>
                </c:pt>
                <c:pt idx="104">
                  <c:v>94.349684094379128</c:v>
                </c:pt>
                <c:pt idx="105">
                  <c:v>94.345993176950032</c:v>
                </c:pt>
                <c:pt idx="106">
                  <c:v>94.342072204390035</c:v>
                </c:pt>
                <c:pt idx="107">
                  <c:v>94.337927691755993</c:v>
                </c:pt>
                <c:pt idx="108">
                  <c:v>94.33356591591992</c:v>
                </c:pt>
                <c:pt idx="109">
                  <c:v>94.328992926350608</c:v>
                </c:pt>
                <c:pt idx="110">
                  <c:v>94.32421455531501</c:v>
                </c:pt>
                <c:pt idx="111">
                  <c:v>94.319236427535245</c:v>
                </c:pt>
                <c:pt idx="112">
                  <c:v>94.314063969334867</c:v>
                </c:pt>
                <c:pt idx="113">
                  <c:v>94.308702417305881</c:v>
                </c:pt>
                <c:pt idx="114">
                  <c:v>94.303156826525068</c:v>
                </c:pt>
                <c:pt idx="115">
                  <c:v>94.297432078347285</c:v>
                </c:pt>
                <c:pt idx="116">
                  <c:v>94.291532887800543</c:v>
                </c:pt>
                <c:pt idx="117">
                  <c:v>94.285463810606416</c:v>
                </c:pt>
                <c:pt idx="118">
                  <c:v>94.279229249848143</c:v>
                </c:pt>
                <c:pt idx="119">
                  <c:v>94.27283346230621</c:v>
                </c:pt>
                <c:pt idx="120">
                  <c:v>94.266280564481306</c:v>
                </c:pt>
                <c:pt idx="121">
                  <c:v>94.259574538321957</c:v>
                </c:pt>
                <c:pt idx="122">
                  <c:v>94.252719236673812</c:v>
                </c:pt>
                <c:pt idx="123">
                  <c:v>94.245718388466386</c:v>
                </c:pt>
                <c:pt idx="124">
                  <c:v>94.238575603651654</c:v>
                </c:pt>
                <c:pt idx="125">
                  <c:v>94.231294377908199</c:v>
                </c:pt>
                <c:pt idx="126">
                  <c:v>94.223878097124128</c:v>
                </c:pt>
                <c:pt idx="127">
                  <c:v>94.21633004167056</c:v>
                </c:pt>
                <c:pt idx="128">
                  <c:v>94.208653390476854</c:v>
                </c:pt>
                <c:pt idx="129">
                  <c:v>94.20085122491875</c:v>
                </c:pt>
                <c:pt idx="130">
                  <c:v>94.192926532528674</c:v>
                </c:pt>
                <c:pt idx="131">
                  <c:v>94.184882210538319</c:v>
                </c:pt>
                <c:pt idx="132">
                  <c:v>94.176721069261717</c:v>
                </c:pt>
                <c:pt idx="133">
                  <c:v>94.168445835327447</c:v>
                </c:pt>
                <c:pt idx="134">
                  <c:v>94.160059154767666</c:v>
                </c:pt>
                <c:pt idx="135">
                  <c:v>94.151563595971368</c:v>
                </c:pt>
                <c:pt idx="136">
                  <c:v>94.142961652508589</c:v>
                </c:pt>
                <c:pt idx="137">
                  <c:v>94.134255745832419</c:v>
                </c:pt>
                <c:pt idx="138">
                  <c:v>94.125448227864567</c:v>
                </c:pt>
                <c:pt idx="139">
                  <c:v>94.116541383470647</c:v>
                </c:pt>
                <c:pt idx="140">
                  <c:v>94.107537432830384</c:v>
                </c:pt>
                <c:pt idx="141">
                  <c:v>94.098438533708034</c:v>
                </c:pt>
                <c:pt idx="142">
                  <c:v>94.089246783627772</c:v>
                </c:pt>
                <c:pt idx="143">
                  <c:v>94.079964221958818</c:v>
                </c:pt>
                <c:pt idx="144">
                  <c:v>94.070592831914553</c:v>
                </c:pt>
                <c:pt idx="145">
                  <c:v>94.061134542469588</c:v>
                </c:pt>
                <c:pt idx="146">
                  <c:v>94.05159123019908</c:v>
                </c:pt>
                <c:pt idx="147">
                  <c:v>94.041964721043485</c:v>
                </c:pt>
                <c:pt idx="148">
                  <c:v>94.032256792002556</c:v>
                </c:pt>
                <c:pt idx="149">
                  <c:v>94.022469172761831</c:v>
                </c:pt>
                <c:pt idx="150">
                  <c:v>94.012603547254557</c:v>
                </c:pt>
              </c:numCache>
            </c:numRef>
          </c:yVal>
          <c:smooth val="0"/>
          <c:extLst>
            <c:ext xmlns:c16="http://schemas.microsoft.com/office/drawing/2014/chart" uri="{C3380CC4-5D6E-409C-BE32-E72D297353CC}">
              <c16:uniqueId val="{00000000-901A-4CE4-83F4-75906C9CC573}"/>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6.4353984069163761E-2</c:v>
                </c:pt>
                <c:pt idx="2">
                  <c:v>0.11996207025341152</c:v>
                </c:pt>
                <c:pt idx="3">
                  <c:v>0.1758106853632791</c:v>
                </c:pt>
                <c:pt idx="4">
                  <c:v>0.23189982939876655</c:v>
                </c:pt>
                <c:pt idx="5">
                  <c:v>0.28822950235987377</c:v>
                </c:pt>
                <c:pt idx="6">
                  <c:v>0.34479970424660084</c:v>
                </c:pt>
                <c:pt idx="7">
                  <c:v>0.40161043505894795</c:v>
                </c:pt>
                <c:pt idx="8">
                  <c:v>0.4586616947969146</c:v>
                </c:pt>
                <c:pt idx="9">
                  <c:v>0.51595348346050118</c:v>
                </c:pt>
                <c:pt idx="10">
                  <c:v>0.57348580104970759</c:v>
                </c:pt>
                <c:pt idx="11">
                  <c:v>0.63125864756453398</c:v>
                </c:pt>
                <c:pt idx="12">
                  <c:v>0.68927202300497992</c:v>
                </c:pt>
                <c:pt idx="13">
                  <c:v>0.74752592737104606</c:v>
                </c:pt>
                <c:pt idx="14">
                  <c:v>0.80602036066273186</c:v>
                </c:pt>
                <c:pt idx="15">
                  <c:v>0.86475532288003731</c:v>
                </c:pt>
                <c:pt idx="16">
                  <c:v>0.92373081402296275</c:v>
                </c:pt>
                <c:pt idx="17">
                  <c:v>0.98294683409150818</c:v>
                </c:pt>
                <c:pt idx="18">
                  <c:v>1.0424033830856732</c:v>
                </c:pt>
                <c:pt idx="19">
                  <c:v>1.1021004610054583</c:v>
                </c:pt>
                <c:pt idx="20">
                  <c:v>1.1620380678508628</c:v>
                </c:pt>
                <c:pt idx="21">
                  <c:v>1.2222162036218873</c:v>
                </c:pt>
                <c:pt idx="22">
                  <c:v>1.282634868318532</c:v>
                </c:pt>
                <c:pt idx="23">
                  <c:v>1.3432940619407963</c:v>
                </c:pt>
                <c:pt idx="24">
                  <c:v>1.4041937844886803</c:v>
                </c:pt>
                <c:pt idx="25">
                  <c:v>1.4653340359621843</c:v>
                </c:pt>
                <c:pt idx="26">
                  <c:v>1.5267148163613082</c:v>
                </c:pt>
                <c:pt idx="27">
                  <c:v>1.5883361256860518</c:v>
                </c:pt>
                <c:pt idx="28">
                  <c:v>1.6501979639364157</c:v>
                </c:pt>
                <c:pt idx="29">
                  <c:v>1.7123003311123983</c:v>
                </c:pt>
                <c:pt idx="30">
                  <c:v>1.7746432272140018</c:v>
                </c:pt>
                <c:pt idx="31">
                  <c:v>1.8372266522412246</c:v>
                </c:pt>
                <c:pt idx="32">
                  <c:v>1.9000506061940674</c:v>
                </c:pt>
                <c:pt idx="33">
                  <c:v>1.96311508907253</c:v>
                </c:pt>
                <c:pt idx="34">
                  <c:v>2.0264201008766127</c:v>
                </c:pt>
                <c:pt idx="35">
                  <c:v>2.089965641606315</c:v>
                </c:pt>
                <c:pt idx="36">
                  <c:v>2.1537517112616369</c:v>
                </c:pt>
                <c:pt idx="37">
                  <c:v>2.2177783098425787</c:v>
                </c:pt>
                <c:pt idx="38">
                  <c:v>2.282045437349141</c:v>
                </c:pt>
                <c:pt idx="39">
                  <c:v>2.3465530937813224</c:v>
                </c:pt>
                <c:pt idx="40">
                  <c:v>2.4113012791391237</c:v>
                </c:pt>
                <c:pt idx="41">
                  <c:v>2.4762899934225455</c:v>
                </c:pt>
                <c:pt idx="42">
                  <c:v>2.541519236631586</c:v>
                </c:pt>
                <c:pt idx="43">
                  <c:v>2.6069890087662473</c:v>
                </c:pt>
                <c:pt idx="44">
                  <c:v>2.6726993098265281</c:v>
                </c:pt>
                <c:pt idx="45">
                  <c:v>2.7386501398124281</c:v>
                </c:pt>
                <c:pt idx="46">
                  <c:v>2.8048414987239489</c:v>
                </c:pt>
                <c:pt idx="47">
                  <c:v>2.8712733865610898</c:v>
                </c:pt>
                <c:pt idx="48">
                  <c:v>2.9379458033238492</c:v>
                </c:pt>
                <c:pt idx="49">
                  <c:v>3.0048587490122292</c:v>
                </c:pt>
                <c:pt idx="50">
                  <c:v>3.0720122236262291</c:v>
                </c:pt>
                <c:pt idx="51">
                  <c:v>3.1394062271658489</c:v>
                </c:pt>
                <c:pt idx="52">
                  <c:v>3.2070407596310893</c:v>
                </c:pt>
                <c:pt idx="53">
                  <c:v>3.2749158210219478</c:v>
                </c:pt>
                <c:pt idx="54">
                  <c:v>3.3430314113384272</c:v>
                </c:pt>
                <c:pt idx="55">
                  <c:v>3.4113875305805261</c:v>
                </c:pt>
                <c:pt idx="56">
                  <c:v>3.4799841787482455</c:v>
                </c:pt>
                <c:pt idx="57">
                  <c:v>3.5488213558415844</c:v>
                </c:pt>
                <c:pt idx="58">
                  <c:v>3.6178990618605416</c:v>
                </c:pt>
                <c:pt idx="59">
                  <c:v>3.68721729680512</c:v>
                </c:pt>
                <c:pt idx="60">
                  <c:v>3.7567760606753189</c:v>
                </c:pt>
                <c:pt idx="61">
                  <c:v>3.826575353471136</c:v>
                </c:pt>
                <c:pt idx="62">
                  <c:v>3.8966151751925744</c:v>
                </c:pt>
                <c:pt idx="63">
                  <c:v>3.9668955258396323</c:v>
                </c:pt>
                <c:pt idx="64">
                  <c:v>4.0374164054123094</c:v>
                </c:pt>
                <c:pt idx="65">
                  <c:v>4.108177813910606</c:v>
                </c:pt>
                <c:pt idx="66">
                  <c:v>4.1791797513345239</c:v>
                </c:pt>
                <c:pt idx="67">
                  <c:v>4.2504222176840605</c:v>
                </c:pt>
                <c:pt idx="68">
                  <c:v>4.3219052129592184</c:v>
                </c:pt>
                <c:pt idx="69">
                  <c:v>4.3936287371599949</c:v>
                </c:pt>
                <c:pt idx="70">
                  <c:v>4.4655927902863919</c:v>
                </c:pt>
                <c:pt idx="71">
                  <c:v>4.5377973723384075</c:v>
                </c:pt>
                <c:pt idx="72">
                  <c:v>4.6102424833160436</c:v>
                </c:pt>
                <c:pt idx="73">
                  <c:v>4.6829281232192992</c:v>
                </c:pt>
                <c:pt idx="74">
                  <c:v>4.7558542920481752</c:v>
                </c:pt>
                <c:pt idx="75">
                  <c:v>4.8290209898026717</c:v>
                </c:pt>
                <c:pt idx="76">
                  <c:v>4.9024282164827877</c:v>
                </c:pt>
                <c:pt idx="77">
                  <c:v>4.9760759720885233</c:v>
                </c:pt>
                <c:pt idx="78">
                  <c:v>5.0499642566198775</c:v>
                </c:pt>
                <c:pt idx="79">
                  <c:v>5.1240930700768521</c:v>
                </c:pt>
                <c:pt idx="80">
                  <c:v>5.1984624124594472</c:v>
                </c:pt>
                <c:pt idx="81">
                  <c:v>5.2730722837676609</c:v>
                </c:pt>
                <c:pt idx="82">
                  <c:v>5.3479226840014968</c:v>
                </c:pt>
                <c:pt idx="83">
                  <c:v>5.4230136131609505</c:v>
                </c:pt>
                <c:pt idx="84">
                  <c:v>5.4983450712460238</c:v>
                </c:pt>
                <c:pt idx="85">
                  <c:v>5.5739170582567183</c:v>
                </c:pt>
                <c:pt idx="86">
                  <c:v>5.6497295741930333</c:v>
                </c:pt>
                <c:pt idx="87">
                  <c:v>5.7257826190549661</c:v>
                </c:pt>
                <c:pt idx="88">
                  <c:v>5.8020761928425211</c:v>
                </c:pt>
                <c:pt idx="89">
                  <c:v>5.8786102955556938</c:v>
                </c:pt>
                <c:pt idx="90">
                  <c:v>5.9553849271944861</c:v>
                </c:pt>
                <c:pt idx="91">
                  <c:v>6.0324000877588997</c:v>
                </c:pt>
                <c:pt idx="92">
                  <c:v>6.1096557772489328</c:v>
                </c:pt>
                <c:pt idx="93">
                  <c:v>6.1871519956645855</c:v>
                </c:pt>
                <c:pt idx="94">
                  <c:v>6.2648887430058586</c:v>
                </c:pt>
                <c:pt idx="95">
                  <c:v>6.3428660192727513</c:v>
                </c:pt>
                <c:pt idx="96">
                  <c:v>6.4210838244652617</c:v>
                </c:pt>
                <c:pt idx="97">
                  <c:v>6.4995421585833943</c:v>
                </c:pt>
                <c:pt idx="98">
                  <c:v>6.5782410216271456</c:v>
                </c:pt>
                <c:pt idx="99">
                  <c:v>6.6571804135965174</c:v>
                </c:pt>
                <c:pt idx="100">
                  <c:v>6.7363603344915095</c:v>
                </c:pt>
                <c:pt idx="101">
                  <c:v>6.8157807843121221</c:v>
                </c:pt>
                <c:pt idx="102">
                  <c:v>6.8954417630583524</c:v>
                </c:pt>
                <c:pt idx="103">
                  <c:v>6.9753432707302032</c:v>
                </c:pt>
                <c:pt idx="104">
                  <c:v>7.0554853073276753</c:v>
                </c:pt>
                <c:pt idx="105">
                  <c:v>7.1358678728507652</c:v>
                </c:pt>
                <c:pt idx="106">
                  <c:v>7.2164909672994746</c:v>
                </c:pt>
                <c:pt idx="107">
                  <c:v>7.2973545906738053</c:v>
                </c:pt>
                <c:pt idx="108">
                  <c:v>7.3784587429737565</c:v>
                </c:pt>
                <c:pt idx="109">
                  <c:v>7.4598034241993263</c:v>
                </c:pt>
                <c:pt idx="110">
                  <c:v>7.5413886343505165</c:v>
                </c:pt>
                <c:pt idx="111">
                  <c:v>7.6232143734273263</c:v>
                </c:pt>
                <c:pt idx="112">
                  <c:v>7.7052806414297574</c:v>
                </c:pt>
                <c:pt idx="113">
                  <c:v>7.7875874383578054</c:v>
                </c:pt>
                <c:pt idx="114">
                  <c:v>7.8701347642114765</c:v>
                </c:pt>
                <c:pt idx="115">
                  <c:v>7.9529226189907645</c:v>
                </c:pt>
                <c:pt idx="116">
                  <c:v>8.0359510026956702</c:v>
                </c:pt>
                <c:pt idx="117">
                  <c:v>8.1192199153261999</c:v>
                </c:pt>
                <c:pt idx="118">
                  <c:v>8.2027293568823492</c:v>
                </c:pt>
                <c:pt idx="119">
                  <c:v>8.286479327364118</c:v>
                </c:pt>
                <c:pt idx="120">
                  <c:v>8.3704698267715063</c:v>
                </c:pt>
                <c:pt idx="121">
                  <c:v>8.4547008551045124</c:v>
                </c:pt>
                <c:pt idx="122">
                  <c:v>8.5391724123631416</c:v>
                </c:pt>
                <c:pt idx="123">
                  <c:v>8.6238844985473868</c:v>
                </c:pt>
                <c:pt idx="124">
                  <c:v>8.7088371136572569</c:v>
                </c:pt>
                <c:pt idx="125">
                  <c:v>8.7940302576927429</c:v>
                </c:pt>
                <c:pt idx="126">
                  <c:v>8.8794639306538521</c:v>
                </c:pt>
                <c:pt idx="127">
                  <c:v>8.965138132540579</c:v>
                </c:pt>
                <c:pt idx="128">
                  <c:v>9.0510528633529255</c:v>
                </c:pt>
                <c:pt idx="129">
                  <c:v>9.1372081230908933</c:v>
                </c:pt>
                <c:pt idx="130">
                  <c:v>9.2236039117544788</c:v>
                </c:pt>
                <c:pt idx="131">
                  <c:v>9.3102402293436857</c:v>
                </c:pt>
                <c:pt idx="132">
                  <c:v>9.3971170758585121</c:v>
                </c:pt>
                <c:pt idx="133">
                  <c:v>9.484234451298958</c:v>
                </c:pt>
                <c:pt idx="134">
                  <c:v>9.5715923556650235</c:v>
                </c:pt>
                <c:pt idx="135">
                  <c:v>9.6591907889567103</c:v>
                </c:pt>
                <c:pt idx="136">
                  <c:v>9.7470297511740167</c:v>
                </c:pt>
                <c:pt idx="137">
                  <c:v>9.8351092423169408</c:v>
                </c:pt>
                <c:pt idx="138">
                  <c:v>9.9234292623854863</c:v>
                </c:pt>
                <c:pt idx="139">
                  <c:v>10.011989811379653</c:v>
                </c:pt>
                <c:pt idx="140">
                  <c:v>10.100790889299438</c:v>
                </c:pt>
                <c:pt idx="141">
                  <c:v>10.189832496144842</c:v>
                </c:pt>
                <c:pt idx="142">
                  <c:v>10.279114631915865</c:v>
                </c:pt>
                <c:pt idx="143">
                  <c:v>10.36863729661251</c:v>
                </c:pt>
                <c:pt idx="144">
                  <c:v>10.458400490234773</c:v>
                </c:pt>
                <c:pt idx="145">
                  <c:v>10.548404212782659</c:v>
                </c:pt>
                <c:pt idx="146">
                  <c:v>10.638648464256162</c:v>
                </c:pt>
                <c:pt idx="147">
                  <c:v>10.729133244655285</c:v>
                </c:pt>
                <c:pt idx="148">
                  <c:v>10.81985855398003</c:v>
                </c:pt>
                <c:pt idx="149">
                  <c:v>10.910824392230392</c:v>
                </c:pt>
                <c:pt idx="150">
                  <c:v>11.002030759406377</c:v>
                </c:pt>
              </c:numCache>
            </c:numRef>
          </c:yVal>
          <c:smooth val="1"/>
          <c:extLst>
            <c:ext xmlns:c16="http://schemas.microsoft.com/office/drawing/2014/chart" uri="{C3380CC4-5D6E-409C-BE32-E72D297353CC}">
              <c16:uniqueId val="{00000001-901A-4CE4-83F4-75906C9CC573}"/>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3.727916973194078E-2</c:v>
                </c:pt>
                <c:pt idx="1">
                  <c:v>3.96448424592135E-2</c:v>
                </c:pt>
                <c:pt idx="2">
                  <c:v>4.2072769731940775E-2</c:v>
                </c:pt>
                <c:pt idx="3">
                  <c:v>4.456295155012259E-2</c:v>
                </c:pt>
                <c:pt idx="4">
                  <c:v>4.7115387913758959E-2</c:v>
                </c:pt>
                <c:pt idx="5">
                  <c:v>4.9730078822849869E-2</c:v>
                </c:pt>
                <c:pt idx="6">
                  <c:v>5.2407024277395325E-2</c:v>
                </c:pt>
                <c:pt idx="7">
                  <c:v>5.5146224277395323E-2</c:v>
                </c:pt>
                <c:pt idx="8">
                  <c:v>5.7947678822849867E-2</c:v>
                </c:pt>
                <c:pt idx="9">
                  <c:v>6.0811387913758959E-2</c:v>
                </c:pt>
                <c:pt idx="10">
                  <c:v>6.3737351550122598E-2</c:v>
                </c:pt>
                <c:pt idx="11">
                  <c:v>6.6725569731940784E-2</c:v>
                </c:pt>
                <c:pt idx="12">
                  <c:v>6.9776042459213511E-2</c:v>
                </c:pt>
                <c:pt idx="13">
                  <c:v>7.2888769731940778E-2</c:v>
                </c:pt>
                <c:pt idx="14">
                  <c:v>7.6063751550122613E-2</c:v>
                </c:pt>
                <c:pt idx="15">
                  <c:v>7.9300987913758975E-2</c:v>
                </c:pt>
                <c:pt idx="16">
                  <c:v>8.2600478822849877E-2</c:v>
                </c:pt>
                <c:pt idx="17">
                  <c:v>8.5962224277395347E-2</c:v>
                </c:pt>
                <c:pt idx="18">
                  <c:v>8.9386224277395315E-2</c:v>
                </c:pt>
                <c:pt idx="19">
                  <c:v>9.287247882284988E-2</c:v>
                </c:pt>
                <c:pt idx="20">
                  <c:v>9.6420987913758957E-2</c:v>
                </c:pt>
                <c:pt idx="21">
                  <c:v>0.10003175155012259</c:v>
                </c:pt>
                <c:pt idx="22">
                  <c:v>0.10370476973194079</c:v>
                </c:pt>
                <c:pt idx="23">
                  <c:v>0.1074400424592135</c:v>
                </c:pt>
                <c:pt idx="24">
                  <c:v>0.11123756973194079</c:v>
                </c:pt>
                <c:pt idx="25">
                  <c:v>0.11509735155012259</c:v>
                </c:pt>
                <c:pt idx="26">
                  <c:v>0.11901938791375896</c:v>
                </c:pt>
                <c:pt idx="27">
                  <c:v>0.12300367882284989</c:v>
                </c:pt>
                <c:pt idx="28">
                  <c:v>0.12705022427739537</c:v>
                </c:pt>
                <c:pt idx="29">
                  <c:v>0.13115902427739531</c:v>
                </c:pt>
                <c:pt idx="30">
                  <c:v>0.13533007882284989</c:v>
                </c:pt>
                <c:pt idx="31">
                  <c:v>0.13956338791375894</c:v>
                </c:pt>
                <c:pt idx="32">
                  <c:v>0.14385895155012263</c:v>
                </c:pt>
                <c:pt idx="33">
                  <c:v>0.14821676973194081</c:v>
                </c:pt>
                <c:pt idx="34">
                  <c:v>0.1526368424592135</c:v>
                </c:pt>
                <c:pt idx="35">
                  <c:v>0.15711916973194079</c:v>
                </c:pt>
                <c:pt idx="36">
                  <c:v>0.16166375155012261</c:v>
                </c:pt>
                <c:pt idx="37">
                  <c:v>0.16627058791375893</c:v>
                </c:pt>
                <c:pt idx="38">
                  <c:v>0.17093967882284991</c:v>
                </c:pt>
                <c:pt idx="39">
                  <c:v>0.17567102427739534</c:v>
                </c:pt>
                <c:pt idx="40">
                  <c:v>0.18046462427739537</c:v>
                </c:pt>
                <c:pt idx="41">
                  <c:v>0.18532047882284991</c:v>
                </c:pt>
                <c:pt idx="42">
                  <c:v>0.19023858791375892</c:v>
                </c:pt>
                <c:pt idx="43">
                  <c:v>0.19521895155012256</c:v>
                </c:pt>
                <c:pt idx="44">
                  <c:v>0.20026156973194081</c:v>
                </c:pt>
                <c:pt idx="45">
                  <c:v>0.20536644245921354</c:v>
                </c:pt>
                <c:pt idx="46">
                  <c:v>0.21053356973194076</c:v>
                </c:pt>
                <c:pt idx="47">
                  <c:v>0.21576295155012259</c:v>
                </c:pt>
                <c:pt idx="48">
                  <c:v>0.22105458791375895</c:v>
                </c:pt>
                <c:pt idx="49">
                  <c:v>0.2264084788228499</c:v>
                </c:pt>
                <c:pt idx="50">
                  <c:v>0.23182462427739531</c:v>
                </c:pt>
                <c:pt idx="51">
                  <c:v>0.2373030242773953</c:v>
                </c:pt>
                <c:pt idx="52">
                  <c:v>0.24284367882284988</c:v>
                </c:pt>
                <c:pt idx="53">
                  <c:v>0.24844658791375895</c:v>
                </c:pt>
                <c:pt idx="54">
                  <c:v>0.25411175155012256</c:v>
                </c:pt>
                <c:pt idx="55">
                  <c:v>0.25983916973194082</c:v>
                </c:pt>
                <c:pt idx="56">
                  <c:v>0.26562884245921353</c:v>
                </c:pt>
                <c:pt idx="57">
                  <c:v>0.27148076973194085</c:v>
                </c:pt>
                <c:pt idx="58">
                  <c:v>0.27739495155012261</c:v>
                </c:pt>
                <c:pt idx="59">
                  <c:v>0.28337138791375888</c:v>
                </c:pt>
                <c:pt idx="60">
                  <c:v>0.28941007882284991</c:v>
                </c:pt>
                <c:pt idx="61">
                  <c:v>0.29551102427739534</c:v>
                </c:pt>
                <c:pt idx="62">
                  <c:v>0.30167422427739538</c:v>
                </c:pt>
                <c:pt idx="63">
                  <c:v>0.30789967882284985</c:v>
                </c:pt>
                <c:pt idx="64">
                  <c:v>0.314187387913759</c:v>
                </c:pt>
                <c:pt idx="65">
                  <c:v>0.32053735155012258</c:v>
                </c:pt>
                <c:pt idx="66">
                  <c:v>0.32694956973194084</c:v>
                </c:pt>
                <c:pt idx="67">
                  <c:v>0.33342404245921342</c:v>
                </c:pt>
                <c:pt idx="68">
                  <c:v>0.33996076973194084</c:v>
                </c:pt>
                <c:pt idx="69">
                  <c:v>0.34655975155012264</c:v>
                </c:pt>
                <c:pt idx="70">
                  <c:v>0.35322098791375905</c:v>
                </c:pt>
                <c:pt idx="71">
                  <c:v>0.35994447882284986</c:v>
                </c:pt>
                <c:pt idx="72">
                  <c:v>0.36673022427739532</c:v>
                </c:pt>
                <c:pt idx="73">
                  <c:v>0.3735782242773954</c:v>
                </c:pt>
                <c:pt idx="74">
                  <c:v>0.38048847882284981</c:v>
                </c:pt>
                <c:pt idx="75">
                  <c:v>0.38746098791375905</c:v>
                </c:pt>
                <c:pt idx="76">
                  <c:v>0.39449575155012273</c:v>
                </c:pt>
                <c:pt idx="77">
                  <c:v>0.4015927697319408</c:v>
                </c:pt>
                <c:pt idx="78">
                  <c:v>0.40875204245921359</c:v>
                </c:pt>
                <c:pt idx="79">
                  <c:v>0.41597356973194088</c:v>
                </c:pt>
                <c:pt idx="80">
                  <c:v>0.42325735155012273</c:v>
                </c:pt>
                <c:pt idx="81">
                  <c:v>0.43060338791375896</c:v>
                </c:pt>
                <c:pt idx="82">
                  <c:v>0.43801167882285003</c:v>
                </c:pt>
                <c:pt idx="83">
                  <c:v>0.44548222427739537</c:v>
                </c:pt>
                <c:pt idx="84">
                  <c:v>0.45301502427739515</c:v>
                </c:pt>
                <c:pt idx="85">
                  <c:v>0.46061007882284982</c:v>
                </c:pt>
                <c:pt idx="86">
                  <c:v>0.46826738791375899</c:v>
                </c:pt>
                <c:pt idx="87">
                  <c:v>0.47598695155012261</c:v>
                </c:pt>
                <c:pt idx="88">
                  <c:v>0.48376876973194094</c:v>
                </c:pt>
                <c:pt idx="89">
                  <c:v>0.49161284245921366</c:v>
                </c:pt>
                <c:pt idx="90">
                  <c:v>0.49951916973194077</c:v>
                </c:pt>
                <c:pt idx="91">
                  <c:v>0.5074877515501226</c:v>
                </c:pt>
                <c:pt idx="92">
                  <c:v>0.51551858791375904</c:v>
                </c:pt>
                <c:pt idx="93">
                  <c:v>0.52361167882284998</c:v>
                </c:pt>
                <c:pt idx="94">
                  <c:v>0.53176702427739553</c:v>
                </c:pt>
                <c:pt idx="95">
                  <c:v>0.53998462427739535</c:v>
                </c:pt>
                <c:pt idx="96">
                  <c:v>0.5482644788228499</c:v>
                </c:pt>
                <c:pt idx="97">
                  <c:v>0.55660658791375905</c:v>
                </c:pt>
                <c:pt idx="98">
                  <c:v>0.56501095155012271</c:v>
                </c:pt>
                <c:pt idx="99">
                  <c:v>0.57347756973194075</c:v>
                </c:pt>
                <c:pt idx="100">
                  <c:v>0.58200644245921351</c:v>
                </c:pt>
                <c:pt idx="101">
                  <c:v>0.59059756973194077</c:v>
                </c:pt>
                <c:pt idx="102">
                  <c:v>0.59925095155012253</c:v>
                </c:pt>
                <c:pt idx="103">
                  <c:v>0.60796658791375902</c:v>
                </c:pt>
                <c:pt idx="104">
                  <c:v>0.61674447882285</c:v>
                </c:pt>
                <c:pt idx="105">
                  <c:v>0.62558462427739536</c:v>
                </c:pt>
                <c:pt idx="106">
                  <c:v>0.63448702427739523</c:v>
                </c:pt>
                <c:pt idx="107">
                  <c:v>0.64345167882284982</c:v>
                </c:pt>
                <c:pt idx="108">
                  <c:v>0.6524785879137589</c:v>
                </c:pt>
                <c:pt idx="109">
                  <c:v>0.6615677515501226</c:v>
                </c:pt>
                <c:pt idx="110">
                  <c:v>0.67071916973194079</c:v>
                </c:pt>
                <c:pt idx="111">
                  <c:v>0.6799328424592137</c:v>
                </c:pt>
                <c:pt idx="112">
                  <c:v>0.68920876973194112</c:v>
                </c:pt>
                <c:pt idx="113">
                  <c:v>0.6985469515501227</c:v>
                </c:pt>
                <c:pt idx="114">
                  <c:v>0.70794738791375922</c:v>
                </c:pt>
                <c:pt idx="115">
                  <c:v>0.71741007882284991</c:v>
                </c:pt>
                <c:pt idx="116">
                  <c:v>0.72693502427739531</c:v>
                </c:pt>
                <c:pt idx="117">
                  <c:v>0.73652222427739533</c:v>
                </c:pt>
                <c:pt idx="118">
                  <c:v>0.74617167882284974</c:v>
                </c:pt>
                <c:pt idx="119">
                  <c:v>0.75588338791375898</c:v>
                </c:pt>
                <c:pt idx="120">
                  <c:v>0.7656573515501226</c:v>
                </c:pt>
                <c:pt idx="121">
                  <c:v>0.77549356973194072</c:v>
                </c:pt>
                <c:pt idx="122">
                  <c:v>0.78539204245921357</c:v>
                </c:pt>
                <c:pt idx="123">
                  <c:v>0.79535276973194047</c:v>
                </c:pt>
                <c:pt idx="124">
                  <c:v>0.80537575155012275</c:v>
                </c:pt>
                <c:pt idx="125">
                  <c:v>0.81546098791375887</c:v>
                </c:pt>
                <c:pt idx="126">
                  <c:v>0.82560847882284971</c:v>
                </c:pt>
                <c:pt idx="127">
                  <c:v>0.83581822427739572</c:v>
                </c:pt>
                <c:pt idx="128">
                  <c:v>0.84609022427739533</c:v>
                </c:pt>
                <c:pt idx="129">
                  <c:v>0.85642447882285</c:v>
                </c:pt>
                <c:pt idx="130">
                  <c:v>0.86682098791375894</c:v>
                </c:pt>
                <c:pt idx="131">
                  <c:v>0.87727975155012283</c:v>
                </c:pt>
                <c:pt idx="132">
                  <c:v>0.887800769731941</c:v>
                </c:pt>
                <c:pt idx="133">
                  <c:v>0.89838404245921366</c:v>
                </c:pt>
                <c:pt idx="134">
                  <c:v>0.90902956973194082</c:v>
                </c:pt>
                <c:pt idx="135">
                  <c:v>0.91973735155012271</c:v>
                </c:pt>
                <c:pt idx="136">
                  <c:v>0.93050738791375909</c:v>
                </c:pt>
                <c:pt idx="137">
                  <c:v>0.94133967882284986</c:v>
                </c:pt>
                <c:pt idx="138">
                  <c:v>0.95223422427739557</c:v>
                </c:pt>
                <c:pt idx="139">
                  <c:v>0.96319102427739556</c:v>
                </c:pt>
                <c:pt idx="140">
                  <c:v>0.97421007882285005</c:v>
                </c:pt>
                <c:pt idx="141">
                  <c:v>0.98529138791375903</c:v>
                </c:pt>
                <c:pt idx="142">
                  <c:v>0.99643495155012263</c:v>
                </c:pt>
                <c:pt idx="143">
                  <c:v>1.0076407697319405</c:v>
                </c:pt>
                <c:pt idx="144">
                  <c:v>1.0189088424592134</c:v>
                </c:pt>
                <c:pt idx="145">
                  <c:v>1.0302391697319409</c:v>
                </c:pt>
                <c:pt idx="146">
                  <c:v>1.0416317515501226</c:v>
                </c:pt>
                <c:pt idx="147">
                  <c:v>1.053086587913759</c:v>
                </c:pt>
                <c:pt idx="148">
                  <c:v>1.0646036788228499</c:v>
                </c:pt>
                <c:pt idx="149">
                  <c:v>1.0761830242773953</c:v>
                </c:pt>
                <c:pt idx="150">
                  <c:v>1.0878246242773955</c:v>
                </c:pt>
              </c:numCache>
            </c:numRef>
          </c:yVal>
          <c:smooth val="1"/>
          <c:extLst>
            <c:ext xmlns:c16="http://schemas.microsoft.com/office/drawing/2014/chart" uri="{C3380CC4-5D6E-409C-BE32-E72D297353CC}">
              <c16:uniqueId val="{00000002-901A-4CE4-83F4-75906C9CC57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901A-4CE4-83F4-75906C9CC573}"/>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34.472708502511402</c:v>
                </c:pt>
                <c:pt idx="1">
                  <c:v>34.460116468565857</c:v>
                </c:pt>
                <c:pt idx="2">
                  <c:v>34.44697001801724</c:v>
                </c:pt>
                <c:pt idx="3">
                  <c:v>34.433246528845501</c:v>
                </c:pt>
                <c:pt idx="4">
                  <c:v>34.418922615668379</c:v>
                </c:pt>
                <c:pt idx="5">
                  <c:v>34.403974118223573</c:v>
                </c:pt>
                <c:pt idx="6">
                  <c:v>34.38837609105731</c:v>
                </c:pt>
                <c:pt idx="7">
                  <c:v>34.372102794571532</c:v>
                </c:pt>
                <c:pt idx="8">
                  <c:v>34.355127687589672</c:v>
                </c:pt>
                <c:pt idx="9">
                  <c:v>34.337423421609216</c:v>
                </c:pt>
                <c:pt idx="10">
                  <c:v>34.318961836916976</c:v>
                </c:pt>
                <c:pt idx="11">
                  <c:v>34.299713960749976</c:v>
                </c:pt>
                <c:pt idx="12">
                  <c:v>34.279650007691338</c:v>
                </c:pt>
                <c:pt idx="13">
                  <c:v>34.258739382496699</c:v>
                </c:pt>
                <c:pt idx="14">
                  <c:v>34.236950685550909</c:v>
                </c:pt>
                <c:pt idx="15">
                  <c:v>34.214251721158988</c:v>
                </c:pt>
                <c:pt idx="16">
                  <c:v>34.190609508877301</c:v>
                </c:pt>
                <c:pt idx="17">
                  <c:v>34.165990298091842</c:v>
                </c:pt>
                <c:pt idx="18">
                  <c:v>34.140359586050067</c:v>
                </c:pt>
                <c:pt idx="19">
                  <c:v>34.113682139548978</c:v>
                </c:pt>
                <c:pt idx="20">
                  <c:v>34.085922020478179</c:v>
                </c:pt>
                <c:pt idx="21">
                  <c:v>34.057042615408996</c:v>
                </c:pt>
                <c:pt idx="22">
                  <c:v>34.027006669410405</c:v>
                </c:pt>
                <c:pt idx="23">
                  <c:v>33.995776324260774</c:v>
                </c:pt>
                <c:pt idx="24">
                  <c:v>33.9633131612079</c:v>
                </c:pt>
                <c:pt idx="25">
                  <c:v>33.929578248411964</c:v>
                </c:pt>
                <c:pt idx="26">
                  <c:v>33.894532193183508</c:v>
                </c:pt>
                <c:pt idx="27">
                  <c:v>33.858135199103351</c:v>
                </c:pt>
                <c:pt idx="28">
                  <c:v>33.820347128083036</c:v>
                </c:pt>
                <c:pt idx="29">
                  <c:v>33.781127567391763</c:v>
                </c:pt>
                <c:pt idx="30">
                  <c:v>33.740435901640275</c:v>
                </c:pt>
                <c:pt idx="31">
                  <c:v>33.698231389674199</c:v>
                </c:pt>
                <c:pt idx="32">
                  <c:v>33.654473246285697</c:v>
                </c:pt>
                <c:pt idx="33">
                  <c:v>33.609120728609305</c:v>
                </c:pt>
                <c:pt idx="34">
                  <c:v>33.562133227019089</c:v>
                </c:pt>
                <c:pt idx="35">
                  <c:v>33.513470360295145</c:v>
                </c:pt>
                <c:pt idx="36">
                  <c:v>33.463092074776185</c:v>
                </c:pt>
                <c:pt idx="37">
                  <c:v>33.410958747162091</c:v>
                </c:pt>
                <c:pt idx="38">
                  <c:v>33.357031290577801</c:v>
                </c:pt>
                <c:pt idx="39">
                  <c:v>33.3012712634564</c:v>
                </c:pt>
                <c:pt idx="40">
                  <c:v>33.24364098074804</c:v>
                </c:pt>
                <c:pt idx="41">
                  <c:v>33.184103626910371</c:v>
                </c:pt>
                <c:pt idx="42">
                  <c:v>33.122623370089542</c:v>
                </c:pt>
                <c:pt idx="43">
                  <c:v>33.059165476856116</c:v>
                </c:pt>
                <c:pt idx="44">
                  <c:v>32.993696426820811</c:v>
                </c:pt>
                <c:pt idx="45">
                  <c:v>32.926184026421204</c:v>
                </c:pt>
                <c:pt idx="46">
                  <c:v>32.856597521142092</c:v>
                </c:pt>
                <c:pt idx="47">
                  <c:v>32.784907705411158</c:v>
                </c:pt>
                <c:pt idx="48">
                  <c:v>32.711087029399032</c:v>
                </c:pt>
                <c:pt idx="49">
                  <c:v>32.635109701947094</c:v>
                </c:pt>
                <c:pt idx="50">
                  <c:v>32.55695178885135</c:v>
                </c:pt>
                <c:pt idx="51">
                  <c:v>32.476591305743618</c:v>
                </c:pt>
                <c:pt idx="52">
                  <c:v>32.394008304834486</c:v>
                </c:pt>
                <c:pt idx="53">
                  <c:v>32.309184954814931</c:v>
                </c:pt>
                <c:pt idx="54">
                  <c:v>32.222105613256005</c:v>
                </c:pt>
                <c:pt idx="55">
                  <c:v>32.132756890896346</c:v>
                </c:pt>
                <c:pt idx="56">
                  <c:v>32.041127707268366</c:v>
                </c:pt>
                <c:pt idx="57">
                  <c:v>31.947209337180148</c:v>
                </c:pt>
                <c:pt idx="58">
                  <c:v>31.850995447647144</c:v>
                </c:pt>
                <c:pt idx="59">
                  <c:v>31.752482124946845</c:v>
                </c:pt>
                <c:pt idx="60">
                  <c:v>31.651667891556677</c:v>
                </c:pt>
                <c:pt idx="61">
                  <c:v>31.548553712824678</c:v>
                </c:pt>
                <c:pt idx="62">
                  <c:v>31.443142993315242</c:v>
                </c:pt>
                <c:pt idx="63">
                  <c:v>31.335441562862513</c:v>
                </c:pt>
                <c:pt idx="64">
                  <c:v>31.225457652460737</c:v>
                </c:pt>
                <c:pt idx="65">
                  <c:v>31.113201860206921</c:v>
                </c:pt>
                <c:pt idx="66">
                  <c:v>30.998687107600581</c:v>
                </c:pt>
                <c:pt idx="67">
                  <c:v>30.881928586587549</c:v>
                </c:pt>
                <c:pt idx="68">
                  <c:v>30.762943697811167</c:v>
                </c:pt>
                <c:pt idx="69">
                  <c:v>30.641751980603726</c:v>
                </c:pt>
                <c:pt idx="70">
                  <c:v>30.518375035314232</c:v>
                </c:pt>
                <c:pt idx="71">
                  <c:v>30.392836438620524</c:v>
                </c:pt>
                <c:pt idx="72">
                  <c:v>30.265161652519879</c:v>
                </c:pt>
                <c:pt idx="73">
                  <c:v>30.135377927726118</c:v>
                </c:pt>
                <c:pt idx="74">
                  <c:v>30.003514202228008</c:v>
                </c:pt>
                <c:pt idx="75">
                  <c:v>29.869600995777908</c:v>
                </c:pt>
                <c:pt idx="76">
                  <c:v>29.733670301088932</c:v>
                </c:pt>
                <c:pt idx="77">
                  <c:v>29.595755472512867</c:v>
                </c:pt>
                <c:pt idx="78">
                  <c:v>29.455891112964277</c:v>
                </c:pt>
                <c:pt idx="79">
                  <c:v>29.314112959832794</c:v>
                </c:pt>
                <c:pt idx="80">
                  <c:v>29.170457770603274</c:v>
                </c:pt>
                <c:pt idx="81">
                  <c:v>29.024963208868325</c:v>
                </c:pt>
                <c:pt idx="82">
                  <c:v>28.877667731380615</c:v>
                </c:pt>
                <c:pt idx="83">
                  <c:v>28.728610476749466</c:v>
                </c:pt>
                <c:pt idx="84">
                  <c:v>28.577831156339016</c:v>
                </c:pt>
                <c:pt idx="85">
                  <c:v>28.425369947876664</c:v>
                </c:pt>
                <c:pt idx="86">
                  <c:v>28.271267392227326</c:v>
                </c:pt>
                <c:pt idx="87">
                  <c:v>28.115564293739247</c:v>
                </c:pt>
                <c:pt idx="88">
                  <c:v>27.958301624510451</c:v>
                </c:pt>
                <c:pt idx="89">
                  <c:v>27.799520432875227</c:v>
                </c:pt>
                <c:pt idx="90">
                  <c:v>27.639261756356916</c:v>
                </c:pt>
                <c:pt idx="91">
                  <c:v>27.477566539283881</c:v>
                </c:pt>
                <c:pt idx="92">
                  <c:v>27.314475555216198</c:v>
                </c:pt>
                <c:pt idx="93">
                  <c:v>27.150029334287417</c:v>
                </c:pt>
                <c:pt idx="94">
                  <c:v>26.984268095520498</c:v>
                </c:pt>
                <c:pt idx="95">
                  <c:v>26.817231684139454</c:v>
                </c:pt>
                <c:pt idx="96">
                  <c:v>26.648959513860163</c:v>
                </c:pt>
                <c:pt idx="97">
                  <c:v>26.479490514113021</c:v>
                </c:pt>
                <c:pt idx="98">
                  <c:v>26.308863082117291</c:v>
                </c:pt>
                <c:pt idx="99">
                  <c:v>26.137115039704941</c:v>
                </c:pt>
                <c:pt idx="100">
                  <c:v>25.964283594764911</c:v>
                </c:pt>
                <c:pt idx="101">
                  <c:v>25.790405307162953</c:v>
                </c:pt>
                <c:pt idx="102">
                  <c:v>25.615516058972467</c:v>
                </c:pt>
                <c:pt idx="103">
                  <c:v>25.439651028841745</c:v>
                </c:pt>
                <c:pt idx="104">
                  <c:v>25.262844670309658</c:v>
                </c:pt>
                <c:pt idx="105">
                  <c:v>25.085130693875893</c:v>
                </c:pt>
                <c:pt idx="106">
                  <c:v>24.906542052624843</c:v>
                </c:pt>
                <c:pt idx="107">
                  <c:v>24.727110931201437</c:v>
                </c:pt>
                <c:pt idx="108">
                  <c:v>24.546868737932115</c:v>
                </c:pt>
                <c:pt idx="109">
                  <c:v>24.365846099888721</c:v>
                </c:pt>
                <c:pt idx="110">
                  <c:v>24.184072860692009</c:v>
                </c:pt>
                <c:pt idx="111">
                  <c:v>24.001578080857531</c:v>
                </c:pt>
                <c:pt idx="112">
                  <c:v>23.818390040488239</c:v>
                </c:pt>
                <c:pt idx="113">
                  <c:v>23.634536244126856</c:v>
                </c:pt>
                <c:pt idx="114">
                  <c:v>23.450043427585975</c:v>
                </c:pt>
                <c:pt idx="115">
                  <c:v>23.264937566580599</c:v>
                </c:pt>
                <c:pt idx="116">
                  <c:v>23.079243886996153</c:v>
                </c:pt>
                <c:pt idx="117">
                  <c:v>22.892986876633564</c:v>
                </c:pt>
                <c:pt idx="118">
                  <c:v>22.706190298280138</c:v>
                </c:pt>
                <c:pt idx="119">
                  <c:v>22.518877203963751</c:v>
                </c:pt>
                <c:pt idx="120">
                  <c:v>22.331069950258012</c:v>
                </c:pt>
                <c:pt idx="121">
                  <c:v>22.142790214511109</c:v>
                </c:pt>
                <c:pt idx="122">
                  <c:v>21.954059011884802</c:v>
                </c:pt>
                <c:pt idx="123">
                  <c:v>21.764896713092398</c:v>
                </c:pt>
                <c:pt idx="124">
                  <c:v>21.57532306273767</c:v>
                </c:pt>
                <c:pt idx="125">
                  <c:v>21.38535719816225</c:v>
                </c:pt>
                <c:pt idx="126">
                  <c:v>21.195017668716503</c:v>
                </c:pt>
                <c:pt idx="127">
                  <c:v>21.004322455378237</c:v>
                </c:pt>
                <c:pt idx="128">
                  <c:v>20.813288990648601</c:v>
                </c:pt>
                <c:pt idx="129">
                  <c:v>20.621934178661995</c:v>
                </c:pt>
                <c:pt idx="130">
                  <c:v>20.430274415454441</c:v>
                </c:pt>
                <c:pt idx="131">
                  <c:v>20.238325609339284</c:v>
                </c:pt>
                <c:pt idx="132">
                  <c:v>20.046103201345868</c:v>
                </c:pt>
                <c:pt idx="133">
                  <c:v>19.85362218568191</c:v>
                </c:pt>
                <c:pt idx="134">
                  <c:v>19.660897130185848</c:v>
                </c:pt>
                <c:pt idx="135">
                  <c:v>19.46794219673966</c:v>
                </c:pt>
                <c:pt idx="136">
                  <c:v>19.274771161617259</c:v>
                </c:pt>
                <c:pt idx="137">
                  <c:v>19.08139743574802</c:v>
                </c:pt>
                <c:pt idx="138">
                  <c:v>18.88783408487955</c:v>
                </c:pt>
                <c:pt idx="139">
                  <c:v>18.694093849624259</c:v>
                </c:pt>
                <c:pt idx="140">
                  <c:v>18.500189165382736</c:v>
                </c:pt>
                <c:pt idx="141">
                  <c:v>18.306132182134572</c:v>
                </c:pt>
                <c:pt idx="142">
                  <c:v>18.111934784094387</c:v>
                </c:pt>
                <c:pt idx="143">
                  <c:v>17.91760860923057</c:v>
                </c:pt>
                <c:pt idx="144">
                  <c:v>17.723165068647901</c:v>
                </c:pt>
                <c:pt idx="145">
                  <c:v>17.528615365836743</c:v>
                </c:pt>
                <c:pt idx="146">
                  <c:v>17.333970515794054</c:v>
                </c:pt>
                <c:pt idx="147">
                  <c:v>17.139241364022233</c:v>
                </c:pt>
                <c:pt idx="148">
                  <c:v>16.944438605414199</c:v>
                </c:pt>
                <c:pt idx="149">
                  <c:v>16.749572803033903</c:v>
                </c:pt>
                <c:pt idx="150">
                  <c:v>16.554654406802946</c:v>
                </c:pt>
                <c:pt idx="151">
                  <c:v>16.359693772104734</c:v>
                </c:pt>
                <c:pt idx="152">
                  <c:v>16.164701178318865</c:v>
                </c:pt>
                <c:pt idx="153">
                  <c:v>15.969686847298297</c:v>
                </c:pt>
                <c:pt idx="154">
                  <c:v>15.774660961804233</c:v>
                </c:pt>
                <c:pt idx="155">
                  <c:v>15.579633683911201</c:v>
                </c:pt>
                <c:pt idx="156">
                  <c:v>15.384615173398606</c:v>
                </c:pt>
                <c:pt idx="157">
                  <c:v>15.189615606141601</c:v>
                </c:pt>
                <c:pt idx="158">
                  <c:v>14.994645192517545</c:v>
                </c:pt>
                <c:pt idx="159">
                  <c:v>14.799714195841622</c:v>
                </c:pt>
                <c:pt idx="160">
                  <c:v>14.604832950846014</c:v>
                </c:pt>
                <c:pt idx="161">
                  <c:v>14.410011882217155</c:v>
                </c:pt>
                <c:pt idx="162">
                  <c:v>14.215261523204404</c:v>
                </c:pt>
                <c:pt idx="163">
                  <c:v>14.020592534311758</c:v>
                </c:pt>
                <c:pt idx="164">
                  <c:v>13.826015722086694</c:v>
                </c:pt>
                <c:pt idx="165">
                  <c:v>13.631542058016015</c:v>
                </c:pt>
                <c:pt idx="166">
                  <c:v>13.437182697538546</c:v>
                </c:pt>
                <c:pt idx="167">
                  <c:v>13.242948999183552</c:v>
                </c:pt>
                <c:pt idx="168">
                  <c:v>13.048852543843715</c:v>
                </c:pt>
                <c:pt idx="169">
                  <c:v>12.854905154185305</c:v>
                </c:pt>
                <c:pt idx="170">
                  <c:v>12.661118914202593</c:v>
                </c:pt>
                <c:pt idx="171">
                  <c:v>12.467506188916619</c:v>
                </c:pt>
                <c:pt idx="172">
                  <c:v>12.274079644218482</c:v>
                </c:pt>
                <c:pt idx="173">
                  <c:v>12.080852266854251</c:v>
                </c:pt>
                <c:pt idx="174">
                  <c:v>11.887837384546751</c:v>
                </c:pt>
                <c:pt idx="175">
                  <c:v>11.695048686244721</c:v>
                </c:pt>
                <c:pt idx="176">
                  <c:v>11.502500242489464</c:v>
                </c:pt>
                <c:pt idx="177">
                  <c:v>11.310206525882256</c:v>
                </c:pt>
                <c:pt idx="178">
                  <c:v>11.118182431635486</c:v>
                </c:pt>
                <c:pt idx="179">
                  <c:v>10.926443298183962</c:v>
                </c:pt>
                <c:pt idx="180">
                  <c:v>10.735004927829603</c:v>
                </c:pt>
                <c:pt idx="181">
                  <c:v>10.543883607387698</c:v>
                </c:pt>
                <c:pt idx="182">
                  <c:v>10.353096128799182</c:v>
                </c:pt>
                <c:pt idx="183">
                  <c:v>10.162659809665438</c:v>
                </c:pt>
                <c:pt idx="184">
                  <c:v>9.9725925136596398</c:v>
                </c:pt>
                <c:pt idx="185">
                  <c:v>9.7829126707600764</c:v>
                </c:pt>
                <c:pt idx="186">
                  <c:v>9.5936392972467299</c:v>
                </c:pt>
                <c:pt idx="187">
                  <c:v>9.4047920153939941</c:v>
                </c:pt>
                <c:pt idx="188">
                  <c:v>9.2163910727865517</c:v>
                </c:pt>
                <c:pt idx="189">
                  <c:v>9.0284573611774341</c:v>
                </c:pt>
                <c:pt idx="190">
                  <c:v>8.8410124348010974</c:v>
                </c:pt>
                <c:pt idx="191">
                  <c:v>8.654078528044618</c:v>
                </c:pt>
                <c:pt idx="192">
                  <c:v>8.4676785723726962</c:v>
                </c:pt>
                <c:pt idx="193">
                  <c:v>8.2818362123956568</c:v>
                </c:pt>
                <c:pt idx="194">
                  <c:v>8.0965758209579874</c:v>
                </c:pt>
                <c:pt idx="195">
                  <c:v>7.9119225131195297</c:v>
                </c:pt>
                <c:pt idx="196">
                  <c:v>7.7279021588902141</c:v>
                </c:pt>
                <c:pt idx="197">
                  <c:v>7.544541394573673</c:v>
                </c:pt>
                <c:pt idx="198">
                  <c:v>7.3618676325631691</c:v>
                </c:pt>
                <c:pt idx="199">
                  <c:v>7.1799090694288425</c:v>
                </c:pt>
                <c:pt idx="200">
                  <c:v>6.9986946921239612</c:v>
                </c:pt>
                <c:pt idx="201">
                  <c:v>6.8182542821341166</c:v>
                </c:pt>
                <c:pt idx="202">
                  <c:v>6.6386184173828378</c:v>
                </c:pt>
                <c:pt idx="203">
                  <c:v>6.4598184717045148</c:v>
                </c:pt>
                <c:pt idx="204">
                  <c:v>6.2818866116884049</c:v>
                </c:pt>
                <c:pt idx="205">
                  <c:v>6.104855790694323</c:v>
                </c:pt>
                <c:pt idx="206">
                  <c:v>5.9287597398379983</c:v>
                </c:pt>
                <c:pt idx="207">
                  <c:v>5.7536329557428179</c:v>
                </c:pt>
                <c:pt idx="208">
                  <c:v>5.5795106848554319</c:v>
                </c:pt>
                <c:pt idx="209">
                  <c:v>5.4064289041247804</c:v>
                </c:pt>
                <c:pt idx="210">
                  <c:v>5.2344242978488893</c:v>
                </c:pt>
                <c:pt idx="211">
                  <c:v>5.0635342305015731</c:v>
                </c:pt>
                <c:pt idx="212">
                  <c:v>4.8937967153582376</c:v>
                </c:pt>
                <c:pt idx="213">
                  <c:v>4.7252503787555504</c:v>
                </c:pt>
                <c:pt idx="214">
                  <c:v>4.5579344198315859</c:v>
                </c:pt>
                <c:pt idx="215">
                  <c:v>4.3918885656137316</c:v>
                </c:pt>
                <c:pt idx="216">
                  <c:v>4.2271530213418931</c:v>
                </c:pt>
                <c:pt idx="217">
                  <c:v>4.0637684159390277</c:v>
                </c:pt>
                <c:pt idx="218">
                  <c:v>3.9017757425707877</c:v>
                </c:pt>
                <c:pt idx="219">
                  <c:v>3.7412162942658829</c:v>
                </c:pt>
                <c:pt idx="220">
                  <c:v>3.582131594605269</c:v>
                </c:pt>
                <c:pt idx="221">
                  <c:v>3.4245633235253536</c:v>
                </c:pt>
                <c:pt idx="222">
                  <c:v>3.2685532383234155</c:v>
                </c:pt>
                <c:pt idx="223">
                  <c:v>3.1141430899968245</c:v>
                </c:pt>
                <c:pt idx="224">
                  <c:v>2.9613745350948588</c:v>
                </c:pt>
                <c:pt idx="225">
                  <c:v>2.8102890433119665</c:v>
                </c:pt>
                <c:pt idx="226">
                  <c:v>2.6609278011018578</c:v>
                </c:pt>
                <c:pt idx="227">
                  <c:v>2.5133316116447642</c:v>
                </c:pt>
                <c:pt idx="228">
                  <c:v>2.3675407915529521</c:v>
                </c:pt>
                <c:pt idx="229">
                  <c:v>2.2235950647519691</c:v>
                </c:pt>
                <c:pt idx="230">
                  <c:v>2.0815334540298953</c:v>
                </c:pt>
                <c:pt idx="231">
                  <c:v>1.9413941707934368</c:v>
                </c:pt>
                <c:pt idx="232">
                  <c:v>1.8032145036218394</c:v>
                </c:pt>
                <c:pt idx="233">
                  <c:v>1.6670307062513399</c:v>
                </c:pt>
                <c:pt idx="234">
                  <c:v>1.5328778856649024</c:v>
                </c:pt>
                <c:pt idx="235">
                  <c:v>1.4007898909966996</c:v>
                </c:pt>
                <c:pt idx="236">
                  <c:v>1.2707992039900962</c:v>
                </c:pt>
                <c:pt idx="237">
                  <c:v>1.1429368317695632</c:v>
                </c:pt>
                <c:pt idx="238">
                  <c:v>1.0172322027026237</c:v>
                </c:pt>
                <c:pt idx="239">
                  <c:v>0.89371306613303381</c:v>
                </c:pt>
                <c:pt idx="240">
                  <c:v>0.77240539676489461</c:v>
                </c:pt>
                <c:pt idx="241">
                  <c:v>0.65333330446438409</c:v>
                </c:pt>
                <c:pt idx="242">
                  <c:v>0.53651895022563834</c:v>
                </c:pt>
                <c:pt idx="243">
                  <c:v>0.42198246901571401</c:v>
                </c:pt>
                <c:pt idx="244">
                  <c:v>0.30974190017271108</c:v>
                </c:pt>
                <c:pt idx="245">
                  <c:v>0.19981312598229911</c:v>
                </c:pt>
                <c:pt idx="246">
                  <c:v>9.2209818999304749E-2</c:v>
                </c:pt>
                <c:pt idx="247">
                  <c:v>-1.3056601386471099E-2</c:v>
                </c:pt>
                <c:pt idx="248">
                  <c:v>-0.11597700271312043</c:v>
                </c:pt>
                <c:pt idx="249">
                  <c:v>-0.21654456319278007</c:v>
                </c:pt>
                <c:pt idx="250">
                  <c:v>-0.31475478517957167</c:v>
                </c:pt>
                <c:pt idx="251">
                  <c:v>-0.410605498187605</c:v>
                </c:pt>
                <c:pt idx="252">
                  <c:v>-0.50409685137819593</c:v>
                </c:pt>
                <c:pt idx="253">
                  <c:v>-0.59523129552928755</c:v>
                </c:pt>
                <c:pt idx="254">
                  <c:v>-0.68401355459031421</c:v>
                </c:pt>
                <c:pt idx="255">
                  <c:v>-0.77045058701959079</c:v>
                </c:pt>
                <c:pt idx="256">
                  <c:v>-0.85455153718469468</c:v>
                </c:pt>
                <c:pt idx="257">
                  <c:v>-0.93632767719429655</c:v>
                </c:pt>
                <c:pt idx="258">
                  <c:v>-1.0157923396025534</c:v>
                </c:pt>
                <c:pt idx="259">
                  <c:v>-1.0929608415023437</c:v>
                </c:pt>
                <c:pt idx="260">
                  <c:v>-1.1678504005835586</c:v>
                </c:pt>
                <c:pt idx="261">
                  <c:v>-1.2404800437900212</c:v>
                </c:pt>
                <c:pt idx="262">
                  <c:v>-1.3108705092524799</c:v>
                </c:pt>
                <c:pt idx="263">
                  <c:v>-1.3790441422135411</c:v>
                </c:pt>
                <c:pt idx="264">
                  <c:v>-1.445024785687534</c:v>
                </c:pt>
                <c:pt idx="265">
                  <c:v>-1.5088376666121228</c:v>
                </c:pt>
                <c:pt idx="266">
                  <c:v>-1.5705092782638279</c:v>
                </c:pt>
                <c:pt idx="267">
                  <c:v>-1.6300672597012618</c:v>
                </c:pt>
                <c:pt idx="268">
                  <c:v>-1.6875402729943065</c:v>
                </c:pt>
                <c:pt idx="269">
                  <c:v>-1.7429578789821405</c:v>
                </c:pt>
                <c:pt idx="270">
                  <c:v>-1.7963504122716216</c:v>
                </c:pt>
                <c:pt idx="271">
                  <c:v>-1.8477488561630129</c:v>
                </c:pt>
                <c:pt idx="272">
                  <c:v>-1.8971847181501778</c:v>
                </c:pt>
                <c:pt idx="273">
                  <c:v>-1.9446899066010084</c:v>
                </c:pt>
                <c:pt idx="274">
                  <c:v>-1.9902966091785923</c:v>
                </c:pt>
                <c:pt idx="275">
                  <c:v>-2.0340371735164666</c:v>
                </c:pt>
                <c:pt idx="276">
                  <c:v>-2.0759439906095816</c:v>
                </c:pt>
                <c:pt idx="277">
                  <c:v>-2.1160493813324499</c:v>
                </c:pt>
                <c:pt idx="278">
                  <c:v>-2.154385486443517</c:v>
                </c:pt>
                <c:pt idx="279">
                  <c:v>-2.1909841603841889</c:v>
                </c:pt>
                <c:pt idx="280">
                  <c:v>-2.2258768691302286</c:v>
                </c:pt>
                <c:pt idx="281">
                  <c:v>-2.2590945923049248</c:v>
                </c:pt>
                <c:pt idx="282">
                  <c:v>-2.2906677297174531</c:v>
                </c:pt>
                <c:pt idx="283">
                  <c:v>-2.3206260124456857</c:v>
                </c:pt>
                <c:pt idx="284">
                  <c:v>-2.3489984185422079</c:v>
                </c:pt>
                <c:pt idx="285">
                  <c:v>-2.3758130934055108</c:v>
                </c:pt>
                <c:pt idx="286">
                  <c:v>-2.4010972748238486</c:v>
                </c:pt>
                <c:pt idx="287">
                  <c:v>-2.4248772226684561</c:v>
                </c:pt>
                <c:pt idx="288">
                  <c:v>-2.4471781531886352</c:v>
                </c:pt>
                <c:pt idx="289">
                  <c:v>-2.4680241778343022</c:v>
                </c:pt>
                <c:pt idx="290">
                  <c:v>-2.4874382465175309</c:v>
                </c:pt>
                <c:pt idx="291">
                  <c:v>-2.505442095204736</c:v>
                </c:pt>
                <c:pt idx="292">
                  <c:v>-2.522056197721497</c:v>
                </c:pt>
                <c:pt idx="293">
                  <c:v>-2.5372997216424267</c:v>
                </c:pt>
                <c:pt idx="294">
                  <c:v>-2.5511904881336047</c:v>
                </c:pt>
                <c:pt idx="295">
                  <c:v>-2.5637449356126636</c:v>
                </c:pt>
                <c:pt idx="296">
                  <c:v>-2.5749780870901429</c:v>
                </c:pt>
                <c:pt idx="297">
                  <c:v>-2.5849035210617437</c:v>
                </c:pt>
                <c:pt idx="298">
                  <c:v>-2.5935333458231775</c:v>
                </c:pt>
                <c:pt idx="299">
                  <c:v>-2.6008781770890361</c:v>
                </c:pt>
                <c:pt idx="300">
                  <c:v>-2.6069471188044044</c:v>
                </c:pt>
                <c:pt idx="301">
                  <c:v>-2.6117477470508907</c:v>
                </c:pt>
                <c:pt idx="302">
                  <c:v>-2.6152860969586293</c:v>
                </c:pt>
                <c:pt idx="303">
                  <c:v>-2.6175666525524717</c:v>
                </c:pt>
                <c:pt idx="304">
                  <c:v>-2.6185923394715442</c:v>
                </c:pt>
                <c:pt idx="305">
                  <c:v>-2.6183645205200614</c:v>
                </c:pt>
                <c:pt idx="306">
                  <c:v>-2.6168829940211373</c:v>
                </c:pt>
                <c:pt idx="307">
                  <c:v>-2.6141459949625845</c:v>
                </c:pt>
                <c:pt idx="308">
                  <c:v>-2.6101501989394142</c:v>
                </c:pt>
                <c:pt idx="309">
                  <c:v>-2.6048907289151888</c:v>
                </c:pt>
                <c:pt idx="310">
                  <c:v>-2.5983611648396172</c:v>
                </c:pt>
                <c:pt idx="311">
                  <c:v>-2.5905535561760322</c:v>
                </c:pt>
                <c:pt idx="312">
                  <c:v>-2.5814584374067429</c:v>
                </c:pt>
                <c:pt idx="313">
                  <c:v>-2.5710648465996835</c:v>
                </c:pt>
                <c:pt idx="314">
                  <c:v>-2.5593603471308555</c:v>
                </c:pt>
                <c:pt idx="315">
                  <c:v>-2.5463310526707996</c:v>
                </c:pt>
                <c:pt idx="316">
                  <c:v>-2.5319616555513607</c:v>
                </c:pt>
                <c:pt idx="317">
                  <c:v>-2.5162354586396911</c:v>
                </c:pt>
                <c:pt idx="318">
                  <c:v>-2.499134410849924</c:v>
                </c:pt>
                <c:pt idx="319">
                  <c:v>-2.4806391464302502</c:v>
                </c:pt>
                <c:pt idx="320">
                  <c:v>-2.4607290281614902</c:v>
                </c:pt>
                <c:pt idx="321">
                  <c:v>-2.4393821946051424</c:v>
                </c:pt>
                <c:pt idx="322">
                  <c:v>-2.4165756115325583</c:v>
                </c:pt>
                <c:pt idx="323">
                  <c:v>-2.3922851276615331</c:v>
                </c:pt>
                <c:pt idx="324">
                  <c:v>-2.3664855348155651</c:v>
                </c:pt>
                <c:pt idx="325">
                  <c:v>-2.3391506326070481</c:v>
                </c:pt>
                <c:pt idx="326">
                  <c:v>-2.3102532977294459</c:v>
                </c:pt>
                <c:pt idx="327">
                  <c:v>-2.279765557921233</c:v>
                </c:pt>
                <c:pt idx="328">
                  <c:v>-2.2476586706407975</c:v>
                </c:pt>
                <c:pt idx="329">
                  <c:v>-2.2139032064626645</c:v>
                </c:pt>
                <c:pt idx="330">
                  <c:v>-2.1784691371738827</c:v>
                </c:pt>
                <c:pt idx="331">
                  <c:v>-2.1413259285126593</c:v>
                </c:pt>
                <c:pt idx="332">
                  <c:v>-2.1024426374543328</c:v>
                </c:pt>
                <c:pt idx="333">
                  <c:v>-2.061788013905594</c:v>
                </c:pt>
                <c:pt idx="334">
                  <c:v>-2.0193306066247949</c:v>
                </c:pt>
                <c:pt idx="335">
                  <c:v>-1.9750388731373183</c:v>
                </c:pt>
                <c:pt idx="336">
                  <c:v>-1.9288812933672639</c:v>
                </c:pt>
                <c:pt idx="337">
                  <c:v>-1.8808264866544073</c:v>
                </c:pt>
                <c:pt idx="338">
                  <c:v>-1.8308433317756079</c:v>
                </c:pt>
                <c:pt idx="339">
                  <c:v>-1.7789010895373769</c:v>
                </c:pt>
                <c:pt idx="340">
                  <c:v>-1.724969527456476</c:v>
                </c:pt>
                <c:pt idx="341">
                  <c:v>-1.6690190459951981</c:v>
                </c:pt>
                <c:pt idx="342">
                  <c:v>-1.6110208057731736</c:v>
                </c:pt>
                <c:pt idx="343">
                  <c:v>-1.5509468551324646</c:v>
                </c:pt>
                <c:pt idx="344">
                  <c:v>-1.4887702573954433</c:v>
                </c:pt>
                <c:pt idx="345">
                  <c:v>-1.4244652171198</c:v>
                </c:pt>
                <c:pt idx="346">
                  <c:v>-1.3580072046286127</c:v>
                </c:pt>
                <c:pt idx="347">
                  <c:v>-1.2893730780720563</c:v>
                </c:pt>
                <c:pt idx="348">
                  <c:v>-1.2185412022640554</c:v>
                </c:pt>
                <c:pt idx="349">
                  <c:v>-1.1454915635333505</c:v>
                </c:pt>
                <c:pt idx="350">
                  <c:v>-1.070205879831664</c:v>
                </c:pt>
                <c:pt idx="351">
                  <c:v>-0.99266770535550064</c:v>
                </c:pt>
                <c:pt idx="352">
                  <c:v>-0.91286252896166564</c:v>
                </c:pt>
                <c:pt idx="353">
                  <c:v>-0.8307778656866488</c:v>
                </c:pt>
                <c:pt idx="354">
                  <c:v>-0.74640334072634429</c:v>
                </c:pt>
                <c:pt idx="355">
                  <c:v>-0.6597307652793849</c:v>
                </c:pt>
                <c:pt idx="356">
                  <c:v>-0.5707542037189941</c:v>
                </c:pt>
                <c:pt idx="357">
                  <c:v>-0.47947003162803581</c:v>
                </c:pt>
                <c:pt idx="358">
                  <c:v>-0.38587698430282946</c:v>
                </c:pt>
                <c:pt idx="359">
                  <c:v>-0.28997619541737396</c:v>
                </c:pt>
                <c:pt idx="360">
                  <c:v>-0.19177122562162696</c:v>
                </c:pt>
                <c:pt idx="361">
                  <c:v>-9.1268080940945989E-2</c:v>
                </c:pt>
                <c:pt idx="362">
                  <c:v>1.1524779065992669E-2</c:v>
                </c:pt>
                <c:pt idx="363">
                  <c:v>0.11659644333745832</c:v>
                </c:pt>
                <c:pt idx="364">
                  <c:v>0.22393356138418333</c:v>
                </c:pt>
                <c:pt idx="365">
                  <c:v>0.33352036517086409</c:v>
                </c:pt>
                <c:pt idx="366">
                  <c:v>0.44533870048109825</c:v>
                </c:pt>
                <c:pt idx="367">
                  <c:v>0.55936806735553168</c:v>
                </c:pt>
                <c:pt idx="368">
                  <c:v>0.67558566911713336</c:v>
                </c:pt>
                <c:pt idx="369">
                  <c:v>0.79396646942434213</c:v>
                </c:pt>
                <c:pt idx="370">
                  <c:v>0.9144832567310045</c:v>
                </c:pt>
                <c:pt idx="371">
                  <c:v>1.0371067154750897</c:v>
                </c:pt>
                <c:pt idx="372">
                  <c:v>1.1618055032707788</c:v>
                </c:pt>
                <c:pt idx="373">
                  <c:v>1.2885463333438838</c:v>
                </c:pt>
                <c:pt idx="374">
                  <c:v>1.4172940614203746</c:v>
                </c:pt>
                <c:pt idx="375">
                  <c:v>1.5480117762602439</c:v>
                </c:pt>
                <c:pt idx="376">
                  <c:v>1.6806608930209832</c:v>
                </c:pt>
                <c:pt idx="377">
                  <c:v>1.8152012486315638</c:v>
                </c:pt>
                <c:pt idx="378">
                  <c:v>1.9515911983706278</c:v>
                </c:pt>
                <c:pt idx="379">
                  <c:v>2.0897877128554017</c:v>
                </c:pt>
                <c:pt idx="380">
                  <c:v>2.2297464746731404</c:v>
                </c:pt>
                <c:pt idx="381">
                  <c:v>2.3714219739141469</c:v>
                </c:pt>
                <c:pt idx="382">
                  <c:v>2.5147676019049681</c:v>
                </c:pt>
                <c:pt idx="383">
                  <c:v>2.6597357424746852</c:v>
                </c:pt>
                <c:pt idx="384">
                  <c:v>2.8062778601360372</c:v>
                </c:pt>
                <c:pt idx="385">
                  <c:v>2.9543445846051171</c:v>
                </c:pt>
                <c:pt idx="386">
                  <c:v>3.1038857911328992</c:v>
                </c:pt>
                <c:pt idx="387">
                  <c:v>3.2548506761731737</c:v>
                </c:pt>
                <c:pt idx="388">
                  <c:v>3.4071878279574945</c:v>
                </c:pt>
                <c:pt idx="389">
                  <c:v>3.5608452915985076</c:v>
                </c:pt>
                <c:pt idx="390">
                  <c:v>3.715770628390942</c:v>
                </c:pt>
                <c:pt idx="391">
                  <c:v>3.8719109690262266</c:v>
                </c:pt>
                <c:pt idx="392">
                  <c:v>4.0292130604781757</c:v>
                </c:pt>
                <c:pt idx="393">
                  <c:v>4.187623306362469</c:v>
                </c:pt>
                <c:pt idx="394">
                  <c:v>4.3470878006089171</c:v>
                </c:pt>
                <c:pt idx="395">
                  <c:v>4.5075523543210032</c:v>
                </c:pt>
                <c:pt idx="396">
                  <c:v>4.668962515730799</c:v>
                </c:pt>
                <c:pt idx="397">
                  <c:v>4.8312635831856481</c:v>
                </c:pt>
                <c:pt idx="398">
                  <c:v>4.9944006111285981</c:v>
                </c:pt>
                <c:pt idx="399">
                  <c:v>5.1583184090575873</c:v>
                </c:pt>
                <c:pt idx="400">
                  <c:v>5.3229615334674669</c:v>
                </c:pt>
                <c:pt idx="401">
                  <c:v>5.4882742727959304</c:v>
                </c:pt>
                <c:pt idx="402">
                  <c:v>5.6542006254072117</c:v>
                </c:pt>
                <c:pt idx="403">
                  <c:v>5.8206842706608617</c:v>
                </c:pt>
                <c:pt idx="404">
                  <c:v>5.9876685331201482</c:v>
                </c:pt>
                <c:pt idx="405">
                  <c:v>6.1550963399644676</c:v>
                </c:pt>
                <c:pt idx="406">
                  <c:v>6.3229101716763374</c:v>
                </c:pt>
                <c:pt idx="407">
                  <c:v>6.4910520060776564</c:v>
                </c:pt>
                <c:pt idx="408">
                  <c:v>6.6594632557993974</c:v>
                </c:pt>
                <c:pt idx="409">
                  <c:v>6.8280846992705939</c:v>
                </c:pt>
                <c:pt idx="410">
                  <c:v>6.9968564053227205</c:v>
                </c:pt>
                <c:pt idx="411">
                  <c:v>7.1657176515118826</c:v>
                </c:pt>
                <c:pt idx="412">
                  <c:v>7.3346068362719699</c:v>
                </c:pt>
                <c:pt idx="413">
                  <c:v>7.5034613850258802</c:v>
                </c:pt>
                <c:pt idx="414">
                  <c:v>7.6722176503974637</c:v>
                </c:pt>
                <c:pt idx="415">
                  <c:v>7.8408108066886948</c:v>
                </c:pt>
                <c:pt idx="416">
                  <c:v>8.0091747388119447</c:v>
                </c:pt>
                <c:pt idx="417">
                  <c:v>8.1772419259000344</c:v>
                </c:pt>
                <c:pt idx="418">
                  <c:v>8.3449433198541527</c:v>
                </c:pt>
                <c:pt idx="419">
                  <c:v>8.5122082191379764</c:v>
                </c:pt>
                <c:pt idx="420">
                  <c:v>8.6789641381806675</c:v>
                </c:pt>
                <c:pt idx="421">
                  <c:v>8.8451366728160092</c:v>
                </c:pt>
                <c:pt idx="422">
                  <c:v>9.0106493622608692</c:v>
                </c:pt>
                <c:pt idx="423">
                  <c:v>9.175423548224412</c:v>
                </c:pt>
                <c:pt idx="424">
                  <c:v>9.3393782318360365</c:v>
                </c:pt>
                <c:pt idx="425">
                  <c:v>9.5024299291963903</c:v>
                </c:pt>
                <c:pt idx="426">
                  <c:v>9.66449252648016</c:v>
                </c:pt>
                <c:pt idx="427">
                  <c:v>9.8254771356607975</c:v>
                </c:pt>
                <c:pt idx="428">
                  <c:v>9.9852919520855856</c:v>
                </c:pt>
                <c:pt idx="429">
                  <c:v>10.143842115296824</c:v>
                </c:pt>
                <c:pt idx="430">
                  <c:v>10.301029574683207</c:v>
                </c:pt>
                <c:pt idx="431">
                  <c:v>10.456752961742822</c:v>
                </c:pt>
                <c:pt idx="432">
                  <c:v>10.610907470949725</c:v>
                </c:pt>
                <c:pt idx="433">
                  <c:v>10.763384751439432</c:v>
                </c:pt>
                <c:pt idx="434">
                  <c:v>10.914072811952501</c:v>
                </c:pt>
                <c:pt idx="435">
                  <c:v>11.06285594171176</c:v>
                </c:pt>
                <c:pt idx="436">
                  <c:v>11.209614650134782</c:v>
                </c:pt>
                <c:pt idx="437">
                  <c:v>11.35422562850761</c:v>
                </c:pt>
                <c:pt idx="438">
                  <c:v>11.496561736952861</c:v>
                </c:pt>
                <c:pt idx="439">
                  <c:v>11.636492020209952</c:v>
                </c:pt>
                <c:pt idx="440">
                  <c:v>11.773881755896971</c:v>
                </c:pt>
                <c:pt idx="441">
                  <c:v>11.908592539031751</c:v>
                </c:pt>
                <c:pt idx="442">
                  <c:v>12.040482406640239</c:v>
                </c:pt>
                <c:pt idx="443">
                  <c:v>12.169406006263813</c:v>
                </c:pt>
                <c:pt idx="444">
                  <c:v>12.295214812076123</c:v>
                </c:pt>
                <c:pt idx="445">
                  <c:v>12.417757392122109</c:v>
                </c:pt>
                <c:pt idx="446">
                  <c:v>12.536879729883363</c:v>
                </c:pt>
                <c:pt idx="447">
                  <c:v>12.652425602943232</c:v>
                </c:pt>
                <c:pt idx="448">
                  <c:v>12.764237020957401</c:v>
                </c:pt>
                <c:pt idx="449">
                  <c:v>12.872154724428684</c:v>
                </c:pt>
                <c:pt idx="450">
                  <c:v>12.976018744927229</c:v>
                </c:pt>
                <c:pt idx="451">
                  <c:v>13.075669026397872</c:v>
                </c:pt>
                <c:pt idx="452">
                  <c:v>13.170946106049007</c:v>
                </c:pt>
                <c:pt idx="453">
                  <c:v>13.261691852051381</c:v>
                </c:pt>
                <c:pt idx="454">
                  <c:v>13.34775025389116</c:v>
                </c:pt>
                <c:pt idx="455">
                  <c:v>13.428968259767515</c:v>
                </c:pt>
                <c:pt idx="456">
                  <c:v>13.505196653917322</c:v>
                </c:pt>
                <c:pt idx="457">
                  <c:v>13.576290965254195</c:v>
                </c:pt>
                <c:pt idx="458">
                  <c:v>13.64211239724847</c:v>
                </c:pt>
                <c:pt idx="459">
                  <c:v>13.702528767636338</c:v>
                </c:pt>
                <c:pt idx="460">
                  <c:v>13.757415445359804</c:v>
                </c:pt>
                <c:pt idx="461">
                  <c:v>13.806656271185245</c:v>
                </c:pt>
                <c:pt idx="462">
                  <c:v>13.850144447768038</c:v>
                </c:pt>
                <c:pt idx="463">
                  <c:v>13.887783384587104</c:v>
                </c:pt>
                <c:pt idx="464">
                  <c:v>13.919487483199593</c:v>
                </c:pt>
                <c:pt idx="465">
                  <c:v>13.945182848689111</c:v>
                </c:pt>
                <c:pt idx="466">
                  <c:v>13.964807914026236</c:v>
                </c:pt>
                <c:pt idx="467">
                  <c:v>13.978313965305386</c:v>
                </c:pt>
                <c:pt idx="468">
                  <c:v>13.985665557460944</c:v>
                </c:pt>
                <c:pt idx="469">
                  <c:v>13.98684081204671</c:v>
                </c:pt>
                <c:pt idx="470">
                  <c:v>13.981831590927193</c:v>
                </c:pt>
                <c:pt idx="471">
                  <c:v>13.970643542215074</c:v>
                </c:pt>
                <c:pt idx="472">
                  <c:v>13.953296017394345</c:v>
                </c:pt>
                <c:pt idx="473">
                  <c:v>13.929821861216325</c:v>
                </c:pt>
                <c:pt idx="474">
                  <c:v>13.900267078546957</c:v>
                </c:pt>
                <c:pt idx="475">
                  <c:v>13.864690384786332</c:v>
                </c:pt>
                <c:pt idx="476">
                  <c:v>13.82316264869446</c:v>
                </c:pt>
                <c:pt idx="477">
                  <c:v>13.775766238375786</c:v>
                </c:pt>
                <c:pt idx="478">
                  <c:v>13.722594282728034</c:v>
                </c:pt>
                <c:pt idx="479">
                  <c:v>13.663749861835001</c:v>
                </c:pt>
                <c:pt idx="480">
                  <c:v>13.599345140531208</c:v>
                </c:pt>
                <c:pt idx="481">
                  <c:v>13.529500459714834</c:v>
                </c:pt>
                <c:pt idx="482">
                  <c:v>13.454343399926858</c:v>
                </c:pt>
                <c:pt idx="483">
                  <c:v>13.374007831303068</c:v>
                </c:pt>
                <c:pt idx="484">
                  <c:v>13.288632963258745</c:v>
                </c:pt>
                <c:pt idx="485">
                  <c:v>13.198362406265735</c:v>
                </c:pt>
                <c:pt idx="486">
                  <c:v>13.103343256856059</c:v>
                </c:pt>
                <c:pt idx="487">
                  <c:v>13.003725215617214</c:v>
                </c:pt>
                <c:pt idx="488">
                  <c:v>12.899659746477061</c:v>
                </c:pt>
                <c:pt idx="489">
                  <c:v>12.791299284069865</c:v>
                </c:pt>
                <c:pt idx="490">
                  <c:v>12.678796494480354</c:v>
                </c:pt>
                <c:pt idx="491">
                  <c:v>12.562303593216068</c:v>
                </c:pt>
                <c:pt idx="492">
                  <c:v>12.441971722903482</c:v>
                </c:pt>
                <c:pt idx="493">
                  <c:v>12.317950391955424</c:v>
                </c:pt>
                <c:pt idx="494">
                  <c:v>12.190386974344436</c:v>
                </c:pt>
                <c:pt idx="495">
                  <c:v>12.059426269646291</c:v>
                </c:pt>
                <c:pt idx="496">
                  <c:v>11.925210121692784</c:v>
                </c:pt>
                <c:pt idx="497">
                  <c:v>11.787877093495787</c:v>
                </c:pt>
                <c:pt idx="498">
                  <c:v>11.647562195569218</c:v>
                </c:pt>
                <c:pt idx="499">
                  <c:v>11.504396664371599</c:v>
                </c:pt>
                <c:pt idx="500">
                  <c:v>11.358507787308522</c:v>
                </c:pt>
                <c:pt idx="501">
                  <c:v>11.210018770561538</c:v>
                </c:pt>
                <c:pt idx="502">
                  <c:v>11.05904864592781</c:v>
                </c:pt>
                <c:pt idx="503">
                  <c:v>10.905712212857566</c:v>
                </c:pt>
                <c:pt idx="504">
                  <c:v>10.750120011941458</c:v>
                </c:pt>
                <c:pt idx="505">
                  <c:v>10.592378326221146</c:v>
                </c:pt>
                <c:pt idx="506">
                  <c:v>10.432589206859596</c:v>
                </c:pt>
                <c:pt idx="507">
                  <c:v>10.270850519901032</c:v>
                </c:pt>
                <c:pt idx="508">
                  <c:v>10.107256011065115</c:v>
                </c:pt>
                <c:pt idx="509">
                  <c:v>9.9418953857496</c:v>
                </c:pt>
                <c:pt idx="510">
                  <c:v>9.7748544016495948</c:v>
                </c:pt>
                <c:pt idx="511">
                  <c:v>9.6062149716387246</c:v>
                </c:pt>
                <c:pt idx="512">
                  <c:v>9.4360552747887336</c:v>
                </c:pt>
                <c:pt idx="513">
                  <c:v>9.2644498736281005</c:v>
                </c:pt>
                <c:pt idx="514">
                  <c:v>9.0914698359564952</c:v>
                </c:pt>
                <c:pt idx="515">
                  <c:v>8.9171828597313247</c:v>
                </c:pt>
                <c:pt idx="516">
                  <c:v>8.74165339973408</c:v>
                </c:pt>
                <c:pt idx="517">
                  <c:v>8.5649427948967656</c:v>
                </c:pt>
                <c:pt idx="518">
                  <c:v>8.3871093953300324</c:v>
                </c:pt>
                <c:pt idx="519">
                  <c:v>8.2082086882394769</c:v>
                </c:pt>
                <c:pt idx="520">
                  <c:v>8.0282934220487281</c:v>
                </c:pt>
                <c:pt idx="521">
                  <c:v>7.8474137281646801</c:v>
                </c:pt>
                <c:pt idx="522">
                  <c:v>7.6656172399274913</c:v>
                </c:pt>
                <c:pt idx="523">
                  <c:v>7.4829492083784057</c:v>
                </c:pt>
                <c:pt idx="524">
                  <c:v>7.299452614560396</c:v>
                </c:pt>
                <c:pt idx="525">
                  <c:v>7.1151682781416126</c:v>
                </c:pt>
                <c:pt idx="526">
                  <c:v>6.9301349622068855</c:v>
                </c:pt>
                <c:pt idx="527">
                  <c:v>6.74438947412205</c:v>
                </c:pt>
                <c:pt idx="528">
                  <c:v>6.5579667624180278</c:v>
                </c:pt>
                <c:pt idx="529">
                  <c:v>6.3709000096788913</c:v>
                </c:pt>
                <c:pt idx="530">
                  <c:v>6.1832207214559443</c:v>
                </c:pt>
                <c:pt idx="531">
                  <c:v>5.9949588112491581</c:v>
                </c:pt>
                <c:pt idx="532">
                  <c:v>5.8061426816263673</c:v>
                </c:pt>
                <c:pt idx="533">
                  <c:v>5.6167993015626392</c:v>
                </c:pt>
                <c:pt idx="534">
                  <c:v>5.4269542801004969</c:v>
                </c:pt>
                <c:pt idx="535">
                  <c:v>5.2366319364405776</c:v>
                </c:pt>
                <c:pt idx="536">
                  <c:v>5.0458553665810424</c:v>
                </c:pt>
                <c:pt idx="537">
                  <c:v>4.8546465066279367</c:v>
                </c:pt>
                <c:pt idx="538">
                  <c:v>4.663026192907255</c:v>
                </c:pt>
                <c:pt idx="539">
                  <c:v>4.4710142190050846</c:v>
                </c:pt>
                <c:pt idx="540">
                  <c:v>4.2786293898688799</c:v>
                </c:pt>
                <c:pt idx="541">
                  <c:v>4.0858895730974005</c:v>
                </c:pt>
              </c:numCache>
            </c:numRef>
          </c:yVal>
          <c:smooth val="1"/>
          <c:extLst>
            <c:ext xmlns:c16="http://schemas.microsoft.com/office/drawing/2014/chart" uri="{C3380CC4-5D6E-409C-BE32-E72D297353CC}">
              <c16:uniqueId val="{00000000-69E5-488F-8178-EA81D5C894E7}"/>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-14.205654729091696</c:v>
                </c:pt>
                <c:pt idx="1">
                  <c:v>-14.52221356423818</c:v>
                </c:pt>
                <c:pt idx="2">
                  <c:v>-14.845175622653377</c:v>
                </c:pt>
                <c:pt idx="3">
                  <c:v>-15.174626933984918</c:v>
                </c:pt>
                <c:pt idx="4">
                  <c:v>-15.51065171857994</c:v>
                </c:pt>
                <c:pt idx="5">
                  <c:v>-15.853332147745041</c:v>
                </c:pt>
                <c:pt idx="6">
                  <c:v>-16.2027480918347</c:v>
                </c:pt>
                <c:pt idx="7">
                  <c:v>-16.558976856092045</c:v>
                </c:pt>
                <c:pt idx="8">
                  <c:v>-16.922092904226854</c:v>
                </c:pt>
                <c:pt idx="9">
                  <c:v>-17.292167569787548</c:v>
                </c:pt>
                <c:pt idx="10">
                  <c:v>-17.669268755457839</c:v>
                </c:pt>
                <c:pt idx="11">
                  <c:v>-18.053460620497766</c:v>
                </c:pt>
                <c:pt idx="12">
                  <c:v>-18.444803256640803</c:v>
                </c:pt>
                <c:pt idx="13">
                  <c:v>-18.843352352862016</c:v>
                </c:pt>
                <c:pt idx="14">
                  <c:v>-19.249158849541914</c:v>
                </c:pt>
                <c:pt idx="15">
                  <c:v>-19.662268582674312</c:v>
                </c:pt>
                <c:pt idx="16">
                  <c:v>-20.082721918890392</c:v>
                </c:pt>
                <c:pt idx="17">
                  <c:v>-20.510553382208794</c:v>
                </c:pt>
                <c:pt idx="18">
                  <c:v>-20.945791273567608</c:v>
                </c:pt>
                <c:pt idx="19">
                  <c:v>-21.388457284341762</c:v>
                </c:pt>
                <c:pt idx="20">
                  <c:v>-21.838566105207939</c:v>
                </c:pt>
                <c:pt idx="21">
                  <c:v>-22.296125031880319</c:v>
                </c:pt>
                <c:pt idx="22">
                  <c:v>-22.761133569405619</c:v>
                </c:pt>
                <c:pt idx="23">
                  <c:v>-23.233583036875903</c:v>
                </c:pt>
                <c:pt idx="24">
                  <c:v>-23.713456174579697</c:v>
                </c:pt>
                <c:pt idx="25">
                  <c:v>-24.200726755788583</c:v>
                </c:pt>
                <c:pt idx="26">
                  <c:v>-24.695359205525243</c:v>
                </c:pt>
                <c:pt idx="27">
                  <c:v>-25.197308228829002</c:v>
                </c:pt>
                <c:pt idx="28">
                  <c:v>-25.706518451171256</c:v>
                </c:pt>
                <c:pt idx="29">
                  <c:v>-26.222924073813768</c:v>
                </c:pt>
                <c:pt idx="30">
                  <c:v>-26.746448547020478</c:v>
                </c:pt>
                <c:pt idx="31">
                  <c:v>-27.277004264136153</c:v>
                </c:pt>
                <c:pt idx="32">
                  <c:v>-27.814492279621348</c:v>
                </c:pt>
                <c:pt idx="33">
                  <c:v>-28.358802054195227</c:v>
                </c:pt>
                <c:pt idx="34">
                  <c:v>-28.909811230255205</c:v>
                </c:pt>
                <c:pt idx="35">
                  <c:v>-29.467385440743598</c:v>
                </c:pt>
                <c:pt idx="36">
                  <c:v>-30.031378154591032</c:v>
                </c:pt>
                <c:pt idx="37">
                  <c:v>-30.601630561785999</c:v>
                </c:pt>
                <c:pt idx="38">
                  <c:v>-31.177971501009523</c:v>
                </c:pt>
                <c:pt idx="39">
                  <c:v>-31.760217432610673</c:v>
                </c:pt>
                <c:pt idx="40">
                  <c:v>-32.348172459502386</c:v>
                </c:pt>
                <c:pt idx="41">
                  <c:v>-32.941628398312595</c:v>
                </c:pt>
                <c:pt idx="42">
                  <c:v>-33.540364902835798</c:v>
                </c:pt>
                <c:pt idx="43">
                  <c:v>-34.144149641506253</c:v>
                </c:pt>
                <c:pt idx="44">
                  <c:v>-34.752738530238204</c:v>
                </c:pt>
                <c:pt idx="45">
                  <c:v>-35.365876021575879</c:v>
                </c:pt>
                <c:pt idx="46">
                  <c:v>-35.983295450646288</c:v>
                </c:pt>
                <c:pt idx="47">
                  <c:v>-36.6047194379424</c:v>
                </c:pt>
                <c:pt idx="48">
                  <c:v>-37.229860348459916</c:v>
                </c:pt>
                <c:pt idx="49">
                  <c:v>-37.858420806196008</c:v>
                </c:pt>
                <c:pt idx="50">
                  <c:v>-38.490094262491688</c:v>
                </c:pt>
                <c:pt idx="51">
                  <c:v>-39.124565616161291</c:v>
                </c:pt>
                <c:pt idx="52">
                  <c:v>-39.761511882824031</c:v>
                </c:pt>
                <c:pt idx="53">
                  <c:v>-40.400602910337952</c:v>
                </c:pt>
                <c:pt idx="54">
                  <c:v>-41.041502136730237</c:v>
                </c:pt>
                <c:pt idx="55">
                  <c:v>-41.683867386552947</c:v>
                </c:pt>
                <c:pt idx="56">
                  <c:v>-42.327351701159806</c:v>
                </c:pt>
                <c:pt idx="57">
                  <c:v>-42.971604198006169</c:v>
                </c:pt>
                <c:pt idx="58">
                  <c:v>-43.616270953739708</c:v>
                </c:pt>
                <c:pt idx="59">
                  <c:v>-44.260995905567576</c:v>
                </c:pt>
                <c:pt idx="60">
                  <c:v>-44.905421765168676</c:v>
                </c:pt>
                <c:pt idx="61">
                  <c:v>-45.549190939267454</c:v>
                </c:pt>
                <c:pt idx="62">
                  <c:v>-46.191946450903281</c:v>
                </c:pt>
                <c:pt idx="63">
                  <c:v>-46.833332855431991</c:v>
                </c:pt>
                <c:pt idx="64">
                  <c:v>-47.472997145334567</c:v>
                </c:pt>
                <c:pt idx="65">
                  <c:v>-48.110589638063338</c:v>
                </c:pt>
                <c:pt idx="66">
                  <c:v>-48.74576484134743</c:v>
                </c:pt>
                <c:pt idx="67">
                  <c:v>-49.378182290640687</c:v>
                </c:pt>
                <c:pt idx="68">
                  <c:v>-50.007507353719141</c:v>
                </c:pt>
                <c:pt idx="69">
                  <c:v>-50.633411997822314</c:v>
                </c:pt>
                <c:pt idx="70">
                  <c:v>-51.255575515136293</c:v>
                </c:pt>
                <c:pt idx="71">
                  <c:v>-51.873685202897562</c:v>
                </c:pt>
                <c:pt idx="72">
                  <c:v>-52.487436994873157</c:v>
                </c:pt>
                <c:pt idx="73">
                  <c:v>-53.096536041497117</c:v>
                </c:pt>
                <c:pt idx="74">
                  <c:v>-53.700697236463526</c:v>
                </c:pt>
                <c:pt idx="75">
                  <c:v>-54.299645688118616</c:v>
                </c:pt>
                <c:pt idx="76">
                  <c:v>-54.89311713451351</c:v>
                </c:pt>
                <c:pt idx="77">
                  <c:v>-55.480858301516605</c:v>
                </c:pt>
                <c:pt idx="78">
                  <c:v>-56.062627203866768</c:v>
                </c:pt>
                <c:pt idx="79">
                  <c:v>-56.638193389552086</c:v>
                </c:pt>
                <c:pt idx="80">
                  <c:v>-57.207338128331088</c:v>
                </c:pt>
                <c:pt idx="81">
                  <c:v>-57.76985454564376</c:v>
                </c:pt>
                <c:pt idx="82">
                  <c:v>-58.325547703531036</c:v>
                </c:pt>
                <c:pt idx="83">
                  <c:v>-58.874234630530871</c:v>
                </c:pt>
                <c:pt idx="84">
                  <c:v>-59.415744302809031</c:v>
                </c:pt>
                <c:pt idx="85">
                  <c:v>-59.949917579041468</c:v>
                </c:pt>
                <c:pt idx="86">
                  <c:v>-60.476607091779314</c:v>
                </c:pt>
                <c:pt idx="87">
                  <c:v>-60.99567709818912</c:v>
                </c:pt>
                <c:pt idx="88">
                  <c:v>-61.507003293197563</c:v>
                </c:pt>
                <c:pt idx="89">
                  <c:v>-62.010472588147628</c:v>
                </c:pt>
                <c:pt idx="90">
                  <c:v>-62.505982858127652</c:v>
                </c:pt>
                <c:pt idx="91">
                  <c:v>-62.993442661146354</c:v>
                </c:pt>
                <c:pt idx="92">
                  <c:v>-63.472770932312976</c:v>
                </c:pt>
                <c:pt idx="93">
                  <c:v>-63.943896656126057</c:v>
                </c:pt>
                <c:pt idx="94">
                  <c:v>-64.406758519907598</c:v>
                </c:pt>
                <c:pt idx="95">
                  <c:v>-64.861304551322007</c:v>
                </c:pt>
                <c:pt idx="96">
                  <c:v>-65.307491742802782</c:v>
                </c:pt>
                <c:pt idx="97">
                  <c:v>-65.745285665578592</c:v>
                </c:pt>
                <c:pt idx="98">
                  <c:v>-66.174660075849573</c:v>
                </c:pt>
                <c:pt idx="99">
                  <c:v>-66.595596515505008</c:v>
                </c:pt>
                <c:pt idx="100">
                  <c:v>-67.008083909619586</c:v>
                </c:pt>
                <c:pt idx="101">
                  <c:v>-67.412118162794897</c:v>
                </c:pt>
                <c:pt idx="102">
                  <c:v>-67.80770175624626</c:v>
                </c:pt>
                <c:pt idx="103">
                  <c:v>-68.194843347369101</c:v>
                </c:pt>
                <c:pt idx="104">
                  <c:v>-68.573557373350027</c:v>
                </c:pt>
                <c:pt idx="105">
                  <c:v>-68.94386366022907</c:v>
                </c:pt>
                <c:pt idx="106">
                  <c:v>-69.30578703865605</c:v>
                </c:pt>
                <c:pt idx="107">
                  <c:v>-69.659356967438057</c:v>
                </c:pt>
                <c:pt idx="108">
                  <c:v>-70.004607165823785</c:v>
                </c:pt>
                <c:pt idx="109">
                  <c:v>-70.34157525533665</c:v>
                </c:pt>
                <c:pt idx="110">
                  <c:v>-70.670302411835905</c:v>
                </c:pt>
                <c:pt idx="111">
                  <c:v>-70.990833028365941</c:v>
                </c:pt>
                <c:pt idx="112">
                  <c:v>-71.303214389235961</c:v>
                </c:pt>
                <c:pt idx="113">
                  <c:v>-71.607496355675551</c:v>
                </c:pt>
                <c:pt idx="114">
                  <c:v>-71.903731063305997</c:v>
                </c:pt>
                <c:pt idx="115">
                  <c:v>-72.191972631590446</c:v>
                </c:pt>
                <c:pt idx="116">
                  <c:v>-72.472276885336186</c:v>
                </c:pt>
                <c:pt idx="117">
                  <c:v>-72.744701088262701</c:v>
                </c:pt>
                <c:pt idx="118">
                  <c:v>-73.009303688574732</c:v>
                </c:pt>
                <c:pt idx="119">
                  <c:v>-73.266144076432425</c:v>
                </c:pt>
                <c:pt idx="120">
                  <c:v>-73.515282353157673</c:v>
                </c:pt>
                <c:pt idx="121">
                  <c:v>-73.756779111973586</c:v>
                </c:pt>
                <c:pt idx="122">
                  <c:v>-73.990695230038511</c:v>
                </c:pt>
                <c:pt idx="123">
                  <c:v>-74.217091671507248</c:v>
                </c:pt>
                <c:pt idx="124">
                  <c:v>-74.436029301321412</c:v>
                </c:pt>
                <c:pt idx="125">
                  <c:v>-74.647568709418394</c:v>
                </c:pt>
                <c:pt idx="126">
                  <c:v>-74.851770045025802</c:v>
                </c:pt>
                <c:pt idx="127">
                  <c:v>-75.048692860698992</c:v>
                </c:pt>
                <c:pt idx="128">
                  <c:v>-75.238395965751607</c:v>
                </c:pt>
                <c:pt idx="129">
                  <c:v>-75.420937288724588</c:v>
                </c:pt>
                <c:pt idx="130">
                  <c:v>-75.596373748532443</c:v>
                </c:pt>
                <c:pt idx="131">
                  <c:v>-75.764761133934286</c:v>
                </c:pt>
                <c:pt idx="132">
                  <c:v>-75.926153990972367</c:v>
                </c:pt>
                <c:pt idx="133">
                  <c:v>-76.080605518031291</c:v>
                </c:pt>
                <c:pt idx="134">
                  <c:v>-76.228167468174533</c:v>
                </c:pt>
                <c:pt idx="135">
                  <c:v>-76.368890058425748</c:v>
                </c:pt>
                <c:pt idx="136">
                  <c:v>-76.502821885670187</c:v>
                </c:pt>
                <c:pt idx="137">
                  <c:v>-76.630009848865242</c:v>
                </c:pt>
                <c:pt idx="138">
                  <c:v>-76.750499077256151</c:v>
                </c:pt>
                <c:pt idx="139">
                  <c:v>-76.864332864312971</c:v>
                </c:pt>
                <c:pt idx="140">
                  <c:v>-76.971552607110695</c:v>
                </c:pt>
                <c:pt idx="141">
                  <c:v>-77.072197750894333</c:v>
                </c:pt>
                <c:pt idx="142">
                  <c:v>-77.166305738582636</c:v>
                </c:pt>
                <c:pt idx="143">
                  <c:v>-77.253911964978997</c:v>
                </c:pt>
                <c:pt idx="144">
                  <c:v>-77.335049735474769</c:v>
                </c:pt>
                <c:pt idx="145">
                  <c:v>-77.409750229044278</c:v>
                </c:pt>
                <c:pt idx="146">
                  <c:v>-77.478042465347144</c:v>
                </c:pt>
                <c:pt idx="147">
                  <c:v>-77.539953275769236</c:v>
                </c:pt>
                <c:pt idx="148">
                  <c:v>-77.595507278249599</c:v>
                </c:pt>
                <c:pt idx="149">
                  <c:v>-77.644726855756019</c:v>
                </c:pt>
                <c:pt idx="150">
                  <c:v>-77.687632138288151</c:v>
                </c:pt>
                <c:pt idx="151">
                  <c:v>-77.724240988303805</c:v>
                </c:pt>
                <c:pt idx="152">
                  <c:v>-77.754568989478727</c:v>
                </c:pt>
                <c:pt idx="153">
                  <c:v>-77.778629438726881</c:v>
                </c:pt>
                <c:pt idx="154">
                  <c:v>-77.796433341423906</c:v>
                </c:pt>
                <c:pt idx="155">
                  <c:v>-77.807989409793592</c:v>
                </c:pt>
                <c:pt idx="156">
                  <c:v>-77.813304064429943</c:v>
                </c:pt>
                <c:pt idx="157">
                  <c:v>-77.812381438947966</c:v>
                </c:pt>
                <c:pt idx="158">
                  <c:v>-77.805223387766901</c:v>
                </c:pt>
                <c:pt idx="159">
                  <c:v>-77.791829497052106</c:v>
                </c:pt>
                <c:pt idx="160">
                  <c:v>-77.77219709884902</c:v>
                </c:pt>
                <c:pt idx="161">
                  <c:v>-77.74632128846909</c:v>
                </c:pt>
                <c:pt idx="162">
                  <c:v>-77.714194945192048</c:v>
                </c:pt>
                <c:pt idx="163">
                  <c:v>-77.675808756377023</c:v>
                </c:pt>
                <c:pt idx="164">
                  <c:v>-77.631151245078613</c:v>
                </c:pt>
                <c:pt idx="165">
                  <c:v>-77.580208801290496</c:v>
                </c:pt>
                <c:pt idx="166">
                  <c:v>-77.522965716948406</c:v>
                </c:pt>
                <c:pt idx="167">
                  <c:v>-77.459404224843922</c:v>
                </c:pt>
                <c:pt idx="168">
                  <c:v>-77.389504541613178</c:v>
                </c:pt>
                <c:pt idx="169">
                  <c:v>-77.313244914984779</c:v>
                </c:pt>
                <c:pt idx="170">
                  <c:v>-77.230601675482248</c:v>
                </c:pt>
                <c:pt idx="171">
                  <c:v>-77.141549292794991</c:v>
                </c:pt>
                <c:pt idx="172">
                  <c:v>-77.046060437046492</c:v>
                </c:pt>
                <c:pt idx="173">
                  <c:v>-76.944106045202815</c:v>
                </c:pt>
                <c:pt idx="174">
                  <c:v>-76.835655392879559</c:v>
                </c:pt>
                <c:pt idx="175">
                  <c:v>-76.720676171820443</c:v>
                </c:pt>
                <c:pt idx="176">
                  <c:v>-76.599134573333117</c:v>
                </c:pt>
                <c:pt idx="177">
                  <c:v>-76.470995377982732</c:v>
                </c:pt>
                <c:pt idx="178">
                  <c:v>-76.336222051853781</c:v>
                </c:pt>
                <c:pt idx="179">
                  <c:v>-76.194776849704951</c:v>
                </c:pt>
                <c:pt idx="180">
                  <c:v>-76.046620925349188</c:v>
                </c:pt>
                <c:pt idx="181">
                  <c:v>-75.891714449603526</c:v>
                </c:pt>
                <c:pt idx="182">
                  <c:v>-75.730016736155676</c:v>
                </c:pt>
                <c:pt idx="183">
                  <c:v>-75.561486375708427</c:v>
                </c:pt>
                <c:pt idx="184">
                  <c:v>-75.386081378756529</c:v>
                </c:pt>
                <c:pt idx="185">
                  <c:v>-75.203759327361865</c:v>
                </c:pt>
                <c:pt idx="186">
                  <c:v>-75.014477536285909</c:v>
                </c:pt>
                <c:pt idx="187">
                  <c:v>-74.8181932238369</c:v>
                </c:pt>
                <c:pt idx="188">
                  <c:v>-74.614863692783601</c:v>
                </c:pt>
                <c:pt idx="189">
                  <c:v>-74.40444652167308</c:v>
                </c:pt>
                <c:pt idx="190">
                  <c:v>-74.186899766882163</c:v>
                </c:pt>
                <c:pt idx="191">
                  <c:v>-73.962182175707483</c:v>
                </c:pt>
                <c:pt idx="192">
                  <c:v>-73.730253410778872</c:v>
                </c:pt>
                <c:pt idx="193">
                  <c:v>-73.491074286054669</c:v>
                </c:pt>
                <c:pt idx="194">
                  <c:v>-73.244607014617472</c:v>
                </c:pt>
                <c:pt idx="195">
                  <c:v>-72.990815468457384</c:v>
                </c:pt>
                <c:pt idx="196">
                  <c:v>-72.729665450376288</c:v>
                </c:pt>
                <c:pt idx="197">
                  <c:v>-72.461124978098411</c:v>
                </c:pt>
                <c:pt idx="198">
                  <c:v>-72.185164580610646</c:v>
                </c:pt>
                <c:pt idx="199">
                  <c:v>-71.901757606688534</c:v>
                </c:pt>
                <c:pt idx="200">
                  <c:v>-71.610880545488115</c:v>
                </c:pt>
                <c:pt idx="201">
                  <c:v>-71.312513359000363</c:v>
                </c:pt>
                <c:pt idx="202">
                  <c:v>-71.006639826072515</c:v>
                </c:pt>
                <c:pt idx="203">
                  <c:v>-70.693247897599363</c:v>
                </c:pt>
                <c:pt idx="204">
                  <c:v>-70.372330062378765</c:v>
                </c:pt>
                <c:pt idx="205">
                  <c:v>-70.043883723005294</c:v>
                </c:pt>
                <c:pt idx="206">
                  <c:v>-69.707911581054461</c:v>
                </c:pt>
                <c:pt idx="207">
                  <c:v>-69.364422030666788</c:v>
                </c:pt>
                <c:pt idx="208">
                  <c:v>-69.013429559507628</c:v>
                </c:pt>
                <c:pt idx="209">
                  <c:v>-68.654955155921584</c:v>
                </c:pt>
                <c:pt idx="210">
                  <c:v>-68.289026720949195</c:v>
                </c:pt>
                <c:pt idx="211">
                  <c:v>-67.915679483710505</c:v>
                </c:pt>
                <c:pt idx="212">
                  <c:v>-67.534956418495184</c:v>
                </c:pt>
                <c:pt idx="213">
                  <c:v>-67.146908661732596</c:v>
                </c:pt>
                <c:pt idx="214">
                  <c:v>-66.751595926845667</c:v>
                </c:pt>
                <c:pt idx="215">
                  <c:v>-66.349086914826472</c:v>
                </c:pt>
                <c:pt idx="216">
                  <c:v>-65.939459718208752</c:v>
                </c:pt>
                <c:pt idx="217">
                  <c:v>-65.522802215952254</c:v>
                </c:pt>
                <c:pt idx="218">
                  <c:v>-65.099212456610047</c:v>
                </c:pt>
                <c:pt idx="219">
                  <c:v>-64.66879902700795</c:v>
                </c:pt>
                <c:pt idx="220">
                  <c:v>-64.231681403545082</c:v>
                </c:pt>
                <c:pt idx="221">
                  <c:v>-63.78799028312114</c:v>
                </c:pt>
                <c:pt idx="222">
                  <c:v>-63.337867890607882</c:v>
                </c:pt>
                <c:pt idx="223">
                  <c:v>-62.881468259729246</c:v>
                </c:pt>
                <c:pt idx="224">
                  <c:v>-62.418957484178122</c:v>
                </c:pt>
                <c:pt idx="225">
                  <c:v>-61.950513935800174</c:v>
                </c:pt>
                <c:pt idx="226">
                  <c:v>-61.476328446706376</c:v>
                </c:pt>
                <c:pt idx="227">
                  <c:v>-60.996604452251482</c:v>
                </c:pt>
                <c:pt idx="228">
                  <c:v>-60.511558091916967</c:v>
                </c:pt>
                <c:pt idx="229">
                  <c:v>-60.021418265292475</c:v>
                </c:pt>
                <c:pt idx="230">
                  <c:v>-59.526426640547491</c:v>
                </c:pt>
                <c:pt idx="231">
                  <c:v>-59.026837613006627</c:v>
                </c:pt>
                <c:pt idx="232">
                  <c:v>-58.522918211739508</c:v>
                </c:pt>
                <c:pt idx="233">
                  <c:v>-58.014947952383523</c:v>
                </c:pt>
                <c:pt idx="234">
                  <c:v>-57.503218634788652</c:v>
                </c:pt>
                <c:pt idx="235">
                  <c:v>-56.988034084473313</c:v>
                </c:pt>
                <c:pt idx="236">
                  <c:v>-56.469709837317417</c:v>
                </c:pt>
                <c:pt idx="237">
                  <c:v>-55.948572767382942</c:v>
                </c:pt>
                <c:pt idx="238">
                  <c:v>-55.424960658252203</c:v>
                </c:pt>
                <c:pt idx="239">
                  <c:v>-54.899221718780943</c:v>
                </c:pt>
                <c:pt idx="240">
                  <c:v>-54.371714044694329</c:v>
                </c:pt>
                <c:pt idx="241">
                  <c:v>-53.842805027980845</c:v>
                </c:pt>
                <c:pt idx="242">
                  <c:v>-53.312870716574444</c:v>
                </c:pt>
                <c:pt idx="243">
                  <c:v>-52.782295127330073</c:v>
                </c:pt>
                <c:pt idx="244">
                  <c:v>-52.25146951579918</c:v>
                </c:pt>
                <c:pt idx="245">
                  <c:v>-51.720791606786115</c:v>
                </c:pt>
                <c:pt idx="246">
                  <c:v>-51.190664790102254</c:v>
                </c:pt>
                <c:pt idx="247">
                  <c:v>-50.661497286329777</c:v>
                </c:pt>
                <c:pt idx="248">
                  <c:v>-50.133701287750576</c:v>
                </c:pt>
                <c:pt idx="249">
                  <c:v>-49.607692079883009</c:v>
                </c:pt>
                <c:pt idx="250">
                  <c:v>-49.08388714929314</c:v>
                </c:pt>
                <c:pt idx="251">
                  <c:v>-48.562705283507171</c:v>
                </c:pt>
                <c:pt idx="252">
                  <c:v>-48.044565668935093</c:v>
                </c:pt>
                <c:pt idx="253">
                  <c:v>-47.529886992742398</c:v>
                </c:pt>
                <c:pt idx="254">
                  <c:v>-47.019086554537758</c:v>
                </c:pt>
                <c:pt idx="255">
                  <c:v>-46.512579393633601</c:v>
                </c:pt>
                <c:pt idx="256">
                  <c:v>-46.01077743742978</c:v>
                </c:pt>
                <c:pt idx="257">
                  <c:v>-45.514088676220609</c:v>
                </c:pt>
                <c:pt idx="258">
                  <c:v>-45.022916369397485</c:v>
                </c:pt>
                <c:pt idx="259">
                  <c:v>-44.53765828765507</c:v>
                </c:pt>
                <c:pt idx="260">
                  <c:v>-44.05870599537802</c:v>
                </c:pt>
                <c:pt idx="261">
                  <c:v>-43.586444176929731</c:v>
                </c:pt>
                <c:pt idx="262">
                  <c:v>-43.121250010072671</c:v>
                </c:pt>
                <c:pt idx="263">
                  <c:v>-42.663492589220958</c:v>
                </c:pt>
                <c:pt idx="264">
                  <c:v>-42.213532400711792</c:v>
                </c:pt>
                <c:pt idx="265">
                  <c:v>-41.771720851720744</c:v>
                </c:pt>
                <c:pt idx="266">
                  <c:v>-41.338399853926347</c:v>
                </c:pt>
                <c:pt idx="267">
                  <c:v>-40.913901462483189</c:v>
                </c:pt>
                <c:pt idx="268">
                  <c:v>-40.498547570359889</c:v>
                </c:pt>
                <c:pt idx="269">
                  <c:v>-40.092649657599686</c:v>
                </c:pt>
                <c:pt idx="270">
                  <c:v>-39.696508594596693</c:v>
                </c:pt>
                <c:pt idx="271">
                  <c:v>-39.310414498051742</c:v>
                </c:pt>
                <c:pt idx="272">
                  <c:v>-38.934646637873946</c:v>
                </c:pt>
                <c:pt idx="273">
                  <c:v>-38.569473392937589</c:v>
                </c:pt>
                <c:pt idx="274">
                  <c:v>-38.215152253293468</c:v>
                </c:pt>
                <c:pt idx="275">
                  <c:v>-37.871929866153373</c:v>
                </c:pt>
                <c:pt idx="276">
                  <c:v>-37.540042122747522</c:v>
                </c:pt>
                <c:pt idx="277">
                  <c:v>-37.219714282961945</c:v>
                </c:pt>
                <c:pt idx="278">
                  <c:v>-36.911161134520015</c:v>
                </c:pt>
                <c:pt idx="279">
                  <c:v>-36.614587183371391</c:v>
                </c:pt>
                <c:pt idx="280">
                  <c:v>-36.330186871880287</c:v>
                </c:pt>
                <c:pt idx="281">
                  <c:v>-36.05814482138036</c:v>
                </c:pt>
                <c:pt idx="282">
                  <c:v>-35.798636095658182</c:v>
                </c:pt>
                <c:pt idx="283">
                  <c:v>-35.551826481971268</c:v>
                </c:pt>
                <c:pt idx="284">
                  <c:v>-35.317872786248628</c:v>
                </c:pt>
                <c:pt idx="285">
                  <c:v>-35.096923139220173</c:v>
                </c:pt>
                <c:pt idx="286">
                  <c:v>-34.889117310311093</c:v>
                </c:pt>
                <c:pt idx="287">
                  <c:v>-34.694587026262646</c:v>
                </c:pt>
                <c:pt idx="288">
                  <c:v>-34.513456291571401</c:v>
                </c:pt>
                <c:pt idx="289">
                  <c:v>-34.345841707981322</c:v>
                </c:pt>
                <c:pt idx="290">
                  <c:v>-34.191852790420356</c:v>
                </c:pt>
                <c:pt idx="291">
                  <c:v>-34.05159227692522</c:v>
                </c:pt>
                <c:pt idx="292">
                  <c:v>-33.92515643026492</c:v>
                </c:pt>
                <c:pt idx="293">
                  <c:v>-33.812635329137066</c:v>
                </c:pt>
                <c:pt idx="294">
                  <c:v>-33.714113146972487</c:v>
                </c:pt>
                <c:pt idx="295">
                  <c:v>-33.629668416555063</c:v>
                </c:pt>
                <c:pt idx="296">
                  <c:v>-33.559374278815213</c:v>
                </c:pt>
                <c:pt idx="297">
                  <c:v>-33.503298714323122</c:v>
                </c:pt>
                <c:pt idx="298">
                  <c:v>-33.461504756158831</c:v>
                </c:pt>
                <c:pt idx="299">
                  <c:v>-33.434050682988605</c:v>
                </c:pt>
                <c:pt idx="300">
                  <c:v>-33.420990191323313</c:v>
                </c:pt>
                <c:pt idx="301">
                  <c:v>-33.422372546083352</c:v>
                </c:pt>
                <c:pt idx="302">
                  <c:v>-33.438242708724502</c:v>
                </c:pt>
                <c:pt idx="303">
                  <c:v>-33.468641442324255</c:v>
                </c:pt>
                <c:pt idx="304">
                  <c:v>-33.513605393157434</c:v>
                </c:pt>
                <c:pt idx="305">
                  <c:v>-33.573167148416125</c:v>
                </c:pt>
                <c:pt idx="306">
                  <c:v>-33.64735526986879</c:v>
                </c:pt>
                <c:pt idx="307">
                  <c:v>-33.736194303362787</c:v>
                </c:pt>
                <c:pt idx="308">
                  <c:v>-33.839704764222773</c:v>
                </c:pt>
                <c:pt idx="309">
                  <c:v>-33.957903098700427</c:v>
                </c:pt>
                <c:pt idx="310">
                  <c:v>-34.090801621782958</c:v>
                </c:pt>
                <c:pt idx="311">
                  <c:v>-34.238408431775184</c:v>
                </c:pt>
                <c:pt idx="312">
                  <c:v>-34.400727302215543</c:v>
                </c:pt>
                <c:pt idx="313">
                  <c:v>-34.577757551818941</c:v>
                </c:pt>
                <c:pt idx="314">
                  <c:v>-34.769493893268333</c:v>
                </c:pt>
                <c:pt idx="315">
                  <c:v>-34.975926261831738</c:v>
                </c:pt>
                <c:pt idx="316">
                  <c:v>-35.197039624915412</c:v>
                </c:pt>
                <c:pt idx="317">
                  <c:v>-35.432813773820037</c:v>
                </c:pt>
                <c:pt idx="318">
                  <c:v>-35.683223099120291</c:v>
                </c:pt>
                <c:pt idx="319">
                  <c:v>-35.948236351239558</c:v>
                </c:pt>
                <c:pt idx="320">
                  <c:v>-36.22781638796048</c:v>
                </c:pt>
                <c:pt idx="321">
                  <c:v>-36.521919910769547</c:v>
                </c:pt>
                <c:pt idx="322">
                  <c:v>-36.830497192098328</c:v>
                </c:pt>
                <c:pt idx="323">
                  <c:v>-37.153491795693412</c:v>
                </c:pt>
                <c:pt idx="324">
                  <c:v>-37.490840292505794</c:v>
                </c:pt>
                <c:pt idx="325">
                  <c:v>-37.842471974653328</c:v>
                </c:pt>
                <c:pt idx="326">
                  <c:v>-38.208308570165698</c:v>
                </c:pt>
                <c:pt idx="327">
                  <c:v>-38.588263961370075</c:v>
                </c:pt>
                <c:pt idx="328">
                  <c:v>-38.982243909912128</c:v>
                </c:pt>
                <c:pt idx="329">
                  <c:v>-39.390145791538266</c:v>
                </c:pt>
                <c:pt idx="330">
                  <c:v>-39.811858343866994</c:v>
                </c:pt>
                <c:pt idx="331">
                  <c:v>-40.247261430480044</c:v>
                </c:pt>
                <c:pt idx="332">
                  <c:v>-40.696225824724628</c:v>
                </c:pt>
                <c:pt idx="333">
                  <c:v>-41.158613016672795</c:v>
                </c:pt>
                <c:pt idx="334">
                  <c:v>-41.634275046689929</c:v>
                </c:pt>
                <c:pt idx="335">
                  <c:v>-42.123054369063382</c:v>
                </c:pt>
                <c:pt idx="336">
                  <c:v>-42.624783749083207</c:v>
                </c:pt>
                <c:pt idx="337">
                  <c:v>-43.139286196887809</c:v>
                </c:pt>
                <c:pt idx="338">
                  <c:v>-43.666374941262646</c:v>
                </c:pt>
                <c:pt idx="339">
                  <c:v>-44.20585344641016</c:v>
                </c:pt>
                <c:pt idx="340">
                  <c:v>-44.757515474508729</c:v>
                </c:pt>
                <c:pt idx="341">
                  <c:v>-45.321145196622979</c:v>
                </c:pt>
                <c:pt idx="342">
                  <c:v>-45.896517354233154</c:v>
                </c:pt>
                <c:pt idx="343">
                  <c:v>-46.483397473319151</c:v>
                </c:pt>
                <c:pt idx="344">
                  <c:v>-47.08154213255586</c:v>
                </c:pt>
                <c:pt idx="345">
                  <c:v>-47.690699286761664</c:v>
                </c:pt>
                <c:pt idx="346">
                  <c:v>-48.310608646294469</c:v>
                </c:pt>
                <c:pt idx="347">
                  <c:v>-48.94100211260718</c:v>
                </c:pt>
                <c:pt idx="348">
                  <c:v>-49.581604269674898</c:v>
                </c:pt>
                <c:pt idx="349">
                  <c:v>-50.232132930477981</c:v>
                </c:pt>
                <c:pt idx="350">
                  <c:v>-50.892299737191557</c:v>
                </c:pt>
                <c:pt idx="351">
                  <c:v>-51.561810813191642</c:v>
                </c:pt>
                <c:pt idx="352">
                  <c:v>-52.240367464451374</c:v>
                </c:pt>
                <c:pt idx="353">
                  <c:v>-52.927666927372009</c:v>
                </c:pt>
                <c:pt idx="354">
                  <c:v>-53.623403159591405</c:v>
                </c:pt>
                <c:pt idx="355">
                  <c:v>-54.327267669829013</c:v>
                </c:pt>
                <c:pt idx="356">
                  <c:v>-55.038950382391128</c:v>
                </c:pt>
                <c:pt idx="357">
                  <c:v>-55.758140531554545</c:v>
                </c:pt>
                <c:pt idx="358">
                  <c:v>-56.48452758070696</c:v>
                </c:pt>
                <c:pt idx="359">
                  <c:v>-57.217802160827731</c:v>
                </c:pt>
                <c:pt idx="360">
                  <c:v>-57.957657022669345</c:v>
                </c:pt>
                <c:pt idx="361">
                  <c:v>-58.703787996835381</c:v>
                </c:pt>
                <c:pt idx="362">
                  <c:v>-59.455894955867059</c:v>
                </c:pt>
                <c:pt idx="363">
                  <c:v>-60.213682772422956</c:v>
                </c:pt>
                <c:pt idx="364">
                  <c:v>-60.976862267701165</c:v>
                </c:pt>
                <c:pt idx="365">
                  <c:v>-61.745151144358459</c:v>
                </c:pt>
                <c:pt idx="366">
                  <c:v>-62.518274898394651</c:v>
                </c:pt>
                <c:pt idx="367">
                  <c:v>-63.295967704706186</c:v>
                </c:pt>
                <c:pt idx="368">
                  <c:v>-64.077973271339431</c:v>
                </c:pt>
                <c:pt idx="369">
                  <c:v>-64.864045657837778</c:v>
                </c:pt>
                <c:pt idx="370">
                  <c:v>-65.653950053491641</c:v>
                </c:pt>
                <c:pt idx="371">
                  <c:v>-66.447463511758357</c:v>
                </c:pt>
                <c:pt idx="372">
                  <c:v>-67.244375637594729</c:v>
                </c:pt>
                <c:pt idx="373">
                  <c:v>-68.044489224958838</c:v>
                </c:pt>
                <c:pt idx="374">
                  <c:v>-68.847620842260056</c:v>
                </c:pt>
                <c:pt idx="375">
                  <c:v>-69.653601364052619</c:v>
                </c:pt>
                <c:pt idx="376">
                  <c:v>-70.462276447803674</c:v>
                </c:pt>
                <c:pt idx="377">
                  <c:v>-71.273506955071625</c:v>
                </c:pt>
                <c:pt idx="378">
                  <c:v>-72.087169316928154</c:v>
                </c:pt>
                <c:pt idx="379">
                  <c:v>-72.903155843934499</c:v>
                </c:pt>
                <c:pt idx="380">
                  <c:v>-73.721374981416801</c:v>
                </c:pt>
                <c:pt idx="381">
                  <c:v>-74.541751511195571</c:v>
                </c:pt>
                <c:pt idx="382">
                  <c:v>-75.364226701298108</c:v>
                </c:pt>
                <c:pt idx="383">
                  <c:v>-76.188758405502696</c:v>
                </c:pt>
                <c:pt idx="384">
                  <c:v>-77.015321114854444</c:v>
                </c:pt>
                <c:pt idx="385">
                  <c:v>-77.843905963525714</c:v>
                </c:pt>
                <c:pt idx="386">
                  <c:v>-78.674520691588597</c:v>
                </c:pt>
                <c:pt idx="387">
                  <c:v>-79.507189567420426</c:v>
                </c:pt>
                <c:pt idx="388">
                  <c:v>-80.341953272557774</c:v>
                </c:pt>
                <c:pt idx="389">
                  <c:v>-81.178868751880998</c:v>
                </c:pt>
                <c:pt idx="390">
                  <c:v>-82.018009032024906</c:v>
                </c:pt>
                <c:pt idx="391">
                  <c:v>-82.859463010901507</c:v>
                </c:pt>
                <c:pt idx="392">
                  <c:v>-83.70333522114629</c:v>
                </c:pt>
                <c:pt idx="393">
                  <c:v>-84.549745570229163</c:v>
                </c:pt>
                <c:pt idx="394">
                  <c:v>-85.398829059835052</c:v>
                </c:pt>
                <c:pt idx="395">
                  <c:v>-86.250735486975316</c:v>
                </c:pt>
                <c:pt idx="396">
                  <c:v>-87.105629129117759</c:v>
                </c:pt>
                <c:pt idx="397">
                  <c:v>-87.963688415421757</c:v>
                </c:pt>
                <c:pt idx="398">
                  <c:v>-88.825105585951221</c:v>
                </c:pt>
                <c:pt idx="399">
                  <c:v>-89.690086340501011</c:v>
                </c:pt>
                <c:pt idx="400">
                  <c:v>-90.55884947842371</c:v>
                </c:pt>
                <c:pt idx="401">
                  <c:v>-91.431626530575457</c:v>
                </c:pt>
                <c:pt idx="402">
                  <c:v>-92.308661384233076</c:v>
                </c:pt>
                <c:pt idx="403">
                  <c:v>-93.190209901535042</c:v>
                </c:pt>
                <c:pt idx="404">
                  <c:v>-94.076539531716818</c:v>
                </c:pt>
                <c:pt idx="405">
                  <c:v>-94.967928917094895</c:v>
                </c:pt>
                <c:pt idx="406">
                  <c:v>-95.864667492452099</c:v>
                </c:pt>
                <c:pt idx="407">
                  <c:v>-96.767055077150005</c:v>
                </c:pt>
                <c:pt idx="408">
                  <c:v>-97.675401458971564</c:v>
                </c:pt>
                <c:pt idx="409">
                  <c:v>-98.590025968365481</c:v>
                </c:pt>
                <c:pt idx="410">
                  <c:v>-99.511257041419242</c:v>
                </c:pt>
                <c:pt idx="411">
                  <c:v>-100.43943176954919</c:v>
                </c:pt>
                <c:pt idx="412">
                  <c:v>-101.37489543353577</c:v>
                </c:pt>
                <c:pt idx="413">
                  <c:v>-102.31800101918196</c:v>
                </c:pt>
                <c:pt idx="414">
                  <c:v>-103.26910871150093</c:v>
                </c:pt>
                <c:pt idx="415">
                  <c:v>-104.22858536398091</c:v>
                </c:pt>
                <c:pt idx="416">
                  <c:v>-105.19680393909179</c:v>
                </c:pt>
                <c:pt idx="417">
                  <c:v>-106.17414291583744</c:v>
                </c:pt>
                <c:pt idx="418">
                  <c:v>-107.16098565977244</c:v>
                </c:pt>
                <c:pt idx="419">
                  <c:v>-108.15771975054412</c:v>
                </c:pt>
                <c:pt idx="420">
                  <c:v>-109.1647362616517</c:v>
                </c:pt>
                <c:pt idx="421">
                  <c:v>-110.18242898677209</c:v>
                </c:pt>
                <c:pt idx="422">
                  <c:v>-111.21119360666422</c:v>
                </c:pt>
                <c:pt idx="423">
                  <c:v>-112.25142679037305</c:v>
                </c:pt>
                <c:pt idx="424">
                  <c:v>-113.30352522417529</c:v>
                </c:pt>
                <c:pt idx="425">
                  <c:v>-114.36788456149743</c:v>
                </c:pt>
                <c:pt idx="426">
                  <c:v>-115.44489828687431</c:v>
                </c:pt>
                <c:pt idx="427">
                  <c:v>-116.53495648692405</c:v>
                </c:pt>
                <c:pt idx="428">
                  <c:v>-117.63844452133151</c:v>
                </c:pt>
                <c:pt idx="429">
                  <c:v>-118.75574158694315</c:v>
                </c:pt>
                <c:pt idx="430">
                  <c:v>-119.88721916831274</c:v>
                </c:pt>
                <c:pt idx="431">
                  <c:v>-121.03323936846169</c:v>
                </c:pt>
                <c:pt idx="432">
                  <c:v>-122.19415311417517</c:v>
                </c:pt>
                <c:pt idx="433">
                  <c:v>-123.37029823096591</c:v>
                </c:pt>
                <c:pt idx="434">
                  <c:v>-124.56199738384312</c:v>
                </c:pt>
                <c:pt idx="435">
                  <c:v>-125.76955588131942</c:v>
                </c:pt>
                <c:pt idx="436">
                  <c:v>-126.9932593416676</c:v>
                </c:pt>
                <c:pt idx="437">
                  <c:v>-128.23337122232056</c:v>
                </c:pt>
                <c:pt idx="438">
                  <c:v>-129.49013021555177</c:v>
                </c:pt>
                <c:pt idx="439">
                  <c:v>-130.76374751615461</c:v>
                </c:pt>
                <c:pt idx="440">
                  <c:v>-132.05440396979418</c:v>
                </c:pt>
                <c:pt idx="441">
                  <c:v>-133.3622471140454</c:v>
                </c:pt>
                <c:pt idx="442">
                  <c:v>-134.68738812779713</c:v>
                </c:pt>
                <c:pt idx="443">
                  <c:v>-136.02989870874345</c:v>
                </c:pt>
                <c:pt idx="444">
                  <c:v>-137.38980790299752</c:v>
                </c:pt>
                <c:pt idx="445">
                  <c:v>-138.7670989154162</c:v>
                </c:pt>
                <c:pt idx="446">
                  <c:v>-140.16170593393582</c:v>
                </c:pt>
                <c:pt idx="447">
                  <c:v>-141.57351100598279</c:v>
                </c:pt>
                <c:pt idx="448">
                  <c:v>-143.00234100969107</c:v>
                </c:pt>
                <c:pt idx="449">
                  <c:v>-144.44796476711605</c:v>
                </c:pt>
                <c:pt idx="450">
                  <c:v>-145.91009035065827</c:v>
                </c:pt>
                <c:pt idx="451">
                  <c:v>-147.38836263734342</c:v>
                </c:pt>
                <c:pt idx="452">
                  <c:v>-148.88236116821901</c:v>
                </c:pt>
                <c:pt idx="453">
                  <c:v>-150.39159837170695</c:v>
                </c:pt>
                <c:pt idx="454">
                  <c:v>-151.91551821007602</c:v>
                </c:pt>
                <c:pt idx="455">
                  <c:v>-153.45349530709075</c:v>
                </c:pt>
                <c:pt idx="456">
                  <c:v>-155.00483461212437</c:v>
                </c:pt>
                <c:pt idx="457">
                  <c:v>-156.56877165153355</c:v>
                </c:pt>
                <c:pt idx="458">
                  <c:v>-158.14447341169944</c:v>
                </c:pt>
                <c:pt idx="459">
                  <c:v>-159.73103988992008</c:v>
                </c:pt>
                <c:pt idx="460">
                  <c:v>-161.327506339286</c:v>
                </c:pt>
                <c:pt idx="461">
                  <c:v>-162.93284622194781</c:v>
                </c:pt>
                <c:pt idx="462">
                  <c:v>-164.54597487204677</c:v>
                </c:pt>
                <c:pt idx="463">
                  <c:v>-166.16575385531246</c:v>
                </c:pt>
                <c:pt idx="464">
                  <c:v>-167.79099599736944</c:v>
                </c:pt>
                <c:pt idx="465">
                  <c:v>-169.42047103759515</c:v>
                </c:pt>
                <c:pt idx="466">
                  <c:v>-171.05291185047795</c:v>
                </c:pt>
                <c:pt idx="467">
                  <c:v>-172.68702116234053</c:v>
                </c:pt>
                <c:pt idx="468">
                  <c:v>-174.32147867862841</c:v>
                </c:pt>
                <c:pt idx="469">
                  <c:v>-175.95494852617733</c:v>
                </c:pt>
                <c:pt idx="470">
                  <c:v>-177.58608690643885</c:v>
                </c:pt>
                <c:pt idx="471">
                  <c:v>-179.21354984993019</c:v>
                </c:pt>
                <c:pt idx="472">
                  <c:v>179.16399904059779</c:v>
                </c:pt>
                <c:pt idx="473">
                  <c:v>177.54788097043843</c:v>
                </c:pt>
                <c:pt idx="474">
                  <c:v>175.9393945654447</c:v>
                </c:pt>
                <c:pt idx="475">
                  <c:v>174.3398088192549</c:v>
                </c:pt>
                <c:pt idx="476">
                  <c:v>172.75035646874224</c:v>
                </c:pt>
                <c:pt idx="477">
                  <c:v>171.17222787999069</c:v>
                </c:pt>
                <c:pt idx="478">
                  <c:v>169.60656551407783</c:v>
                </c:pt>
                <c:pt idx="479">
                  <c:v>168.05445902765348</c:v>
                </c:pt>
                <c:pt idx="480">
                  <c:v>166.51694104828931</c:v>
                </c:pt>
                <c:pt idx="481">
                  <c:v>164.99498364937406</c:v>
                </c:pt>
                <c:pt idx="482">
                  <c:v>163.48949553446406</c:v>
                </c:pt>
                <c:pt idx="483">
                  <c:v>162.00131992693309</c:v>
                </c:pt>
                <c:pt idx="484">
                  <c:v>160.53123314787524</c:v>
                </c:pt>
                <c:pt idx="485">
                  <c:v>159.07994385381969</c:v>
                </c:pt>
                <c:pt idx="486">
                  <c:v>157.64809289612379</c:v>
                </c:pt>
                <c:pt idx="487">
                  <c:v>156.23625375604038</c:v>
                </c:pt>
                <c:pt idx="488">
                  <c:v>154.84493350347907</c:v>
                </c:pt>
                <c:pt idx="489">
                  <c:v>153.47457422330638</c:v>
                </c:pt>
                <c:pt idx="490">
                  <c:v>152.12555485064331</c:v>
                </c:pt>
                <c:pt idx="491">
                  <c:v>150.79819335578233</c:v>
                </c:pt>
                <c:pt idx="492">
                  <c:v>149.49274921995323</c:v>
                </c:pt>
                <c:pt idx="493">
                  <c:v>148.209426144958</c:v>
                </c:pt>
                <c:pt idx="494">
                  <c:v>146.94837494249037</c:v>
                </c:pt>
                <c:pt idx="495">
                  <c:v>145.7096965525067</c:v>
                </c:pt>
                <c:pt idx="496">
                  <c:v>144.49344514414312</c:v>
                </c:pt>
                <c:pt idx="497">
                  <c:v>143.29963125716722</c:v>
                </c:pt>
                <c:pt idx="498">
                  <c:v>142.1282249466463</c:v>
                </c:pt>
                <c:pt idx="499">
                  <c:v>140.97915889826376</c:v>
                </c:pt>
                <c:pt idx="500">
                  <c:v>139.85233148638673</c:v>
                </c:pt>
                <c:pt idx="501">
                  <c:v>138.74760975148888</c:v>
                </c:pt>
                <c:pt idx="502">
                  <c:v>137.66483227778784</c:v>
                </c:pt>
                <c:pt idx="503">
                  <c:v>136.60381195589477</c:v>
                </c:pt>
                <c:pt idx="504">
                  <c:v>135.56433861888391</c:v>
                </c:pt>
                <c:pt idx="505">
                  <c:v>134.54618154342506</c:v>
                </c:pt>
                <c:pt idx="506">
                  <c:v>133.5490918104897</c:v>
                </c:pt>
                <c:pt idx="507">
                  <c:v>132.57280452265516</c:v>
                </c:pt>
                <c:pt idx="508">
                  <c:v>131.61704087716458</c:v>
                </c:pt>
                <c:pt idx="509">
                  <c:v>130.68151009573845</c:v>
                </c:pt>
                <c:pt idx="510">
                  <c:v>129.76591121362247</c:v>
                </c:pt>
                <c:pt idx="511">
                  <c:v>128.86993473158586</c:v>
                </c:pt>
                <c:pt idx="512">
                  <c:v>127.99326413556304</c:v>
                </c:pt>
                <c:pt idx="513">
                  <c:v>127.13557728935081</c:v>
                </c:pt>
                <c:pt idx="514">
                  <c:v>126.29654770633437</c:v>
                </c:pt>
                <c:pt idx="515">
                  <c:v>125.47584570657835</c:v>
                </c:pt>
                <c:pt idx="516">
                  <c:v>124.67313946583701</c:v>
                </c:pt>
                <c:pt idx="517">
                  <c:v>123.88809596314046</c:v>
                </c:pt>
                <c:pt idx="518">
                  <c:v>123.12038183361169</c:v>
                </c:pt>
                <c:pt idx="519">
                  <c:v>122.36966413307178</c:v>
                </c:pt>
                <c:pt idx="520">
                  <c:v>121.63561102084483</c:v>
                </c:pt>
                <c:pt idx="521">
                  <c:v>120.91789236695837</c:v>
                </c:pt>
                <c:pt idx="522">
                  <c:v>120.21618028969255</c:v>
                </c:pt>
                <c:pt idx="523">
                  <c:v>119.53014962915269</c:v>
                </c:pt>
                <c:pt idx="524">
                  <c:v>118.85947836224369</c:v>
                </c:pt>
                <c:pt idx="525">
                  <c:v>118.20384796412428</c:v>
                </c:pt>
                <c:pt idx="526">
                  <c:v>117.56294372089897</c:v>
                </c:pt>
                <c:pt idx="527">
                  <c:v>116.93645499799707</c:v>
                </c:pt>
                <c:pt idx="528">
                  <c:v>116.32407546838873</c:v>
                </c:pt>
                <c:pt idx="529">
                  <c:v>115.72550330447031</c:v>
                </c:pt>
                <c:pt idx="530">
                  <c:v>115.14044133718846</c:v>
                </c:pt>
                <c:pt idx="531">
                  <c:v>114.56859718566584</c:v>
                </c:pt>
                <c:pt idx="532">
                  <c:v>114.00968336035392</c:v>
                </c:pt>
                <c:pt idx="533">
                  <c:v>113.46341734246712</c:v>
                </c:pt>
                <c:pt idx="534">
                  <c:v>112.92952164223682</c:v>
                </c:pt>
                <c:pt idx="535">
                  <c:v>112.4077238382864</c:v>
                </c:pt>
                <c:pt idx="536">
                  <c:v>111.89775660023618</c:v>
                </c:pt>
                <c:pt idx="537">
                  <c:v>111.39935769644741</c:v>
                </c:pt>
                <c:pt idx="538">
                  <c:v>110.91226998864259</c:v>
                </c:pt>
                <c:pt idx="539">
                  <c:v>110.43624141497536</c:v>
                </c:pt>
                <c:pt idx="540">
                  <c:v>109.97102496296824</c:v>
                </c:pt>
                <c:pt idx="541">
                  <c:v>109.51637863360568</c:v>
                </c:pt>
              </c:numCache>
            </c:numRef>
          </c:yVal>
          <c:smooth val="1"/>
          <c:extLst>
            <c:ext xmlns:c16="http://schemas.microsoft.com/office/drawing/2014/chart" uri="{C3380CC4-5D6E-409C-BE32-E72D297353CC}">
              <c16:uniqueId val="{00000001-69E5-488F-8178-EA81D5C894E7}"/>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37.867578613451798</c:v>
                </c:pt>
                <c:pt idx="1">
                  <c:v>37.667637565670148</c:v>
                </c:pt>
                <c:pt idx="2">
                  <c:v>37.467699295363211</c:v>
                </c:pt>
                <c:pt idx="3">
                  <c:v>37.267763933346679</c:v>
                </c:pt>
                <c:pt idx="4">
                  <c:v>37.067831616593317</c:v>
                </c:pt>
                <c:pt idx="5">
                  <c:v>36.867902488522482</c:v>
                </c:pt>
                <c:pt idx="6">
                  <c:v>36.66797669930321</c:v>
                </c:pt>
                <c:pt idx="7">
                  <c:v>36.468054406171063</c:v>
                </c:pt>
                <c:pt idx="8">
                  <c:v>36.268135773760562</c:v>
                </c:pt>
                <c:pt idx="9">
                  <c:v>36.068220974452444</c:v>
                </c:pt>
                <c:pt idx="10">
                  <c:v>35.868310188737674</c:v>
                </c:pt>
                <c:pt idx="11">
                  <c:v>35.668403605598364</c:v>
                </c:pt>
                <c:pt idx="12">
                  <c:v>35.468501422906371</c:v>
                </c:pt>
                <c:pt idx="13">
                  <c:v>35.268603847840659</c:v>
                </c:pt>
                <c:pt idx="14">
                  <c:v>35.068711097324311</c:v>
                </c:pt>
                <c:pt idx="15">
                  <c:v>34.868823398481659</c:v>
                </c:pt>
                <c:pt idx="16">
                  <c:v>34.668940989117061</c:v>
                </c:pt>
                <c:pt idx="17">
                  <c:v>34.46906411821579</c:v>
                </c:pt>
                <c:pt idx="18">
                  <c:v>34.269193046468601</c:v>
                </c:pt>
                <c:pt idx="19">
                  <c:v>34.069328046820452</c:v>
                </c:pt>
                <c:pt idx="20">
                  <c:v>33.869469405045031</c:v>
                </c:pt>
                <c:pt idx="21">
                  <c:v>33.669617420346071</c:v>
                </c:pt>
                <c:pt idx="22">
                  <c:v>33.469772405986483</c:v>
                </c:pt>
                <c:pt idx="23">
                  <c:v>33.269934689947043</c:v>
                </c:pt>
                <c:pt idx="24">
                  <c:v>33.07010461561552</c:v>
                </c:pt>
                <c:pt idx="25">
                  <c:v>32.870282542507972</c:v>
                </c:pt>
                <c:pt idx="26">
                  <c:v>32.670468847023692</c:v>
                </c:pt>
                <c:pt idx="27">
                  <c:v>32.470663923234795</c:v>
                </c:pt>
                <c:pt idx="28">
                  <c:v>32.270868183712984</c:v>
                </c:pt>
                <c:pt idx="29">
                  <c:v>32.071082060394325</c:v>
                </c:pt>
                <c:pt idx="30">
                  <c:v>31.871306005484243</c:v>
                </c:pt>
                <c:pt idx="31">
                  <c:v>31.671540492404375</c:v>
                </c:pt>
                <c:pt idx="32">
                  <c:v>31.471786016783177</c:v>
                </c:pt>
                <c:pt idx="33">
                  <c:v>31.272043097492684</c:v>
                </c:pt>
                <c:pt idx="34">
                  <c:v>31.07231227773255</c:v>
                </c:pt>
                <c:pt idx="35">
                  <c:v>30.872594126164795</c:v>
                </c:pt>
                <c:pt idx="36">
                  <c:v>30.672889238100218</c:v>
                </c:pt>
                <c:pt idx="37">
                  <c:v>30.473198236740025</c:v>
                </c:pt>
                <c:pt idx="38">
                  <c:v>30.27352177447424</c:v>
                </c:pt>
                <c:pt idx="39">
                  <c:v>30.073860534239824</c:v>
                </c:pt>
                <c:pt idx="40">
                  <c:v>29.874215230941225</c:v>
                </c:pt>
                <c:pt idx="41">
                  <c:v>29.674586612935812</c:v>
                </c:pt>
                <c:pt idx="42">
                  <c:v>29.474975463587697</c:v>
                </c:pt>
                <c:pt idx="43">
                  <c:v>29.275382602892229</c:v>
                </c:pt>
                <c:pt idx="44">
                  <c:v>29.07580888917467</c:v>
                </c:pt>
                <c:pt idx="45">
                  <c:v>28.876255220866668</c:v>
                </c:pt>
                <c:pt idx="46">
                  <c:v>28.676722538362679</c:v>
                </c:pt>
                <c:pt idx="47">
                  <c:v>28.477211825962151</c:v>
                </c:pt>
                <c:pt idx="48">
                  <c:v>28.277724113897904</c:v>
                </c:pt>
                <c:pt idx="49">
                  <c:v>28.078260480458006</c:v>
                </c:pt>
                <c:pt idx="50">
                  <c:v>27.878822054202548</c:v>
                </c:pt>
                <c:pt idx="51">
                  <c:v>27.679410016280297</c:v>
                </c:pt>
                <c:pt idx="52">
                  <c:v>27.480025602850205</c:v>
                </c:pt>
                <c:pt idx="53">
                  <c:v>27.280670107610621</c:v>
                </c:pt>
                <c:pt idx="54">
                  <c:v>27.081344884442707</c:v>
                </c:pt>
                <c:pt idx="55">
                  <c:v>26.882051350170912</c:v>
                </c:pt>
                <c:pt idx="56">
                  <c:v>26.68279098744712</c:v>
                </c:pt>
                <c:pt idx="57">
                  <c:v>26.483565347762298</c:v>
                </c:pt>
                <c:pt idx="58">
                  <c:v>26.28437605459203</c:v>
                </c:pt>
                <c:pt idx="59">
                  <c:v>26.085224806680017</c:v>
                </c:pt>
                <c:pt idx="60">
                  <c:v>25.886113381467165</c:v>
                </c:pt>
                <c:pt idx="61">
                  <c:v>25.687043638669724</c:v>
                </c:pt>
                <c:pt idx="62">
                  <c:v>25.488017524014694</c:v>
                </c:pt>
                <c:pt idx="63">
                  <c:v>25.289037073137344</c:v>
                </c:pt>
                <c:pt idx="64">
                  <c:v>25.090104415647431</c:v>
                </c:pt>
                <c:pt idx="65">
                  <c:v>24.891221779371122</c:v>
                </c:pt>
                <c:pt idx="66">
                  <c:v>24.692391494775563</c:v>
                </c:pt>
                <c:pt idx="67">
                  <c:v>24.493615999581145</c:v>
                </c:pt>
                <c:pt idx="68">
                  <c:v>24.294897843571949</c:v>
                </c:pt>
                <c:pt idx="69">
                  <c:v>24.096239693608087</c:v>
                </c:pt>
                <c:pt idx="70">
                  <c:v>23.897644338849943</c:v>
                </c:pt>
                <c:pt idx="71">
                  <c:v>23.699114696200038</c:v>
                </c:pt>
                <c:pt idx="72">
                  <c:v>23.50065381597258</c:v>
                </c:pt>
                <c:pt idx="73">
                  <c:v>23.302264887795058</c:v>
                </c:pt>
                <c:pt idx="74">
                  <c:v>23.103951246754171</c:v>
                </c:pt>
                <c:pt idx="75">
                  <c:v>22.905716379789975</c:v>
                </c:pt>
                <c:pt idx="76">
                  <c:v>22.707563932349327</c:v>
                </c:pt>
                <c:pt idx="77">
                  <c:v>22.509497715305621</c:v>
                </c:pt>
                <c:pt idx="78">
                  <c:v>22.311521712153212</c:v>
                </c:pt>
                <c:pt idx="79">
                  <c:v>22.113640086484274</c:v>
                </c:pt>
                <c:pt idx="80">
                  <c:v>21.915857189757837</c:v>
                </c:pt>
                <c:pt idx="81">
                  <c:v>21.718177569367455</c:v>
                </c:pt>
                <c:pt idx="82">
                  <c:v>21.520605977015578</c:v>
                </c:pt>
                <c:pt idx="83">
                  <c:v>21.323147377404624</c:v>
                </c:pt>
                <c:pt idx="84">
                  <c:v>21.125806957249509</c:v>
                </c:pt>
                <c:pt idx="85">
                  <c:v>20.928590134620798</c:v>
                </c:pt>
                <c:pt idx="86">
                  <c:v>20.731502568625725</c:v>
                </c:pt>
                <c:pt idx="87">
                  <c:v>20.534550169432102</c:v>
                </c:pt>
                <c:pt idx="88">
                  <c:v>20.337739108643575</c:v>
                </c:pt>
                <c:pt idx="89">
                  <c:v>20.141075830029578</c:v>
                </c:pt>
                <c:pt idx="90">
                  <c:v>19.944567060616873</c:v>
                </c:pt>
                <c:pt idx="91">
                  <c:v>19.748219822145828</c:v>
                </c:pt>
                <c:pt idx="92">
                  <c:v>19.552041442894989</c:v>
                </c:pt>
                <c:pt idx="93">
                  <c:v>19.35603956987655</c:v>
                </c:pt>
                <c:pt idx="94">
                  <c:v>19.160222181403682</c:v>
                </c:pt>
                <c:pt idx="95">
                  <c:v>18.964597600030455</c:v>
                </c:pt>
                <c:pt idx="96">
                  <c:v>18.769174505861873</c:v>
                </c:pt>
                <c:pt idx="97">
                  <c:v>18.573961950231862</c:v>
                </c:pt>
                <c:pt idx="98">
                  <c:v>18.378969369744485</c:v>
                </c:pt>
                <c:pt idx="99">
                  <c:v>18.184206600671114</c:v>
                </c:pt>
                <c:pt idx="100">
                  <c:v>17.989683893695833</c:v>
                </c:pt>
                <c:pt idx="101">
                  <c:v>17.795411928996693</c:v>
                </c:pt>
                <c:pt idx="102">
                  <c:v>17.601401831650293</c:v>
                </c:pt>
                <c:pt idx="103">
                  <c:v>17.407665187342293</c:v>
                </c:pt>
                <c:pt idx="104">
                  <c:v>17.214214058364679</c:v>
                </c:pt>
                <c:pt idx="105">
                  <c:v>17.021060999876646</c:v>
                </c:pt>
                <c:pt idx="106">
                  <c:v>16.828219076402728</c:v>
                </c:pt>
                <c:pt idx="107">
                  <c:v>16.635701878537063</c:v>
                </c:pt>
                <c:pt idx="108">
                  <c:v>16.443523539820003</c:v>
                </c:pt>
                <c:pt idx="109">
                  <c:v>16.251698753746645</c:v>
                </c:pt>
                <c:pt idx="110">
                  <c:v>16.060242790863892</c:v>
                </c:pt>
                <c:pt idx="111">
                  <c:v>15.869171515906435</c:v>
                </c:pt>
                <c:pt idx="112">
                  <c:v>15.678501404916226</c:v>
                </c:pt>
                <c:pt idx="113">
                  <c:v>15.488249562285421</c:v>
                </c:pt>
                <c:pt idx="114">
                  <c:v>15.298433737655021</c:v>
                </c:pt>
                <c:pt idx="115">
                  <c:v>15.109072342595748</c:v>
                </c:pt>
                <c:pt idx="116">
                  <c:v>14.920184466990804</c:v>
                </c:pt>
                <c:pt idx="117">
                  <c:v>14.731789895032517</c:v>
                </c:pt>
                <c:pt idx="118">
                  <c:v>14.543909120737556</c:v>
                </c:pt>
                <c:pt idx="119">
                  <c:v>14.35656336287812</c:v>
                </c:pt>
                <c:pt idx="120">
                  <c:v>14.169774579217663</c:v>
                </c:pt>
                <c:pt idx="121">
                  <c:v>13.983565479931796</c:v>
                </c:pt>
                <c:pt idx="122">
                  <c:v>13.797959540087588</c:v>
                </c:pt>
                <c:pt idx="123">
                  <c:v>13.612981011044242</c:v>
                </c:pt>
                <c:pt idx="124">
                  <c:v>13.428654930631499</c:v>
                </c:pt>
                <c:pt idx="125">
                  <c:v>13.245007131952764</c:v>
                </c:pt>
                <c:pt idx="126">
                  <c:v>13.062064250651373</c:v>
                </c:pt>
                <c:pt idx="127">
                  <c:v>12.879853730472098</c:v>
                </c:pt>
                <c:pt idx="128">
                  <c:v>12.698403826940059</c:v>
                </c:pt>
                <c:pt idx="129">
                  <c:v>12.5177436089742</c:v>
                </c:pt>
                <c:pt idx="130">
                  <c:v>12.337902958244777</c:v>
                </c:pt>
                <c:pt idx="131">
                  <c:v>12.158912566079213</c:v>
                </c:pt>
                <c:pt idx="132">
                  <c:v>11.980803927715622</c:v>
                </c:pt>
                <c:pt idx="133">
                  <c:v>11.803609333700393</c:v>
                </c:pt>
                <c:pt idx="134">
                  <c:v>11.627361858222864</c:v>
                </c:pt>
                <c:pt idx="135">
                  <c:v>11.452095344181119</c:v>
                </c:pt>
                <c:pt idx="136">
                  <c:v>11.277844384772235</c:v>
                </c:pt>
                <c:pt idx="137">
                  <c:v>11.104644301404633</c:v>
                </c:pt>
                <c:pt idx="138">
                  <c:v>10.932531117734904</c:v>
                </c:pt>
                <c:pt idx="139">
                  <c:v>10.761541529638938</c:v>
                </c:pt>
                <c:pt idx="140">
                  <c:v>10.591712870937599</c:v>
                </c:pt>
                <c:pt idx="141">
                  <c:v>10.423083074709918</c:v>
                </c:pt>
                <c:pt idx="142">
                  <c:v>10.255690630043182</c:v>
                </c:pt>
                <c:pt idx="143">
                  <c:v>10.089574534087511</c:v>
                </c:pt>
                <c:pt idx="144">
                  <c:v>9.9247742393056999</c:v>
                </c:pt>
                <c:pt idx="145">
                  <c:v>9.7613295958341713</c:v>
                </c:pt>
                <c:pt idx="146">
                  <c:v>9.5992807889001348</c:v>
                </c:pt>
                <c:pt idx="147">
                  <c:v>9.4386682712729488</c:v>
                </c:pt>
                <c:pt idx="148">
                  <c:v>9.2795326907627853</c:v>
                </c:pt>
                <c:pt idx="149">
                  <c:v>9.1219148128197887</c:v>
                </c:pt>
                <c:pt idx="150">
                  <c:v>8.9658554383281182</c:v>
                </c:pt>
                <c:pt idx="151">
                  <c:v>8.811395316736137</c:v>
                </c:pt>
                <c:pt idx="152">
                  <c:v>8.6585750547094733</c:v>
                </c:pt>
                <c:pt idx="153">
                  <c:v>8.5074350205455431</c:v>
                </c:pt>
                <c:pt idx="154">
                  <c:v>8.3580152446381053</c:v>
                </c:pt>
                <c:pt idx="155">
                  <c:v>8.210355316334093</c:v>
                </c:pt>
                <c:pt idx="156">
                  <c:v>8.0644942775781079</c:v>
                </c:pt>
                <c:pt idx="157">
                  <c:v>7.9204705137906721</c:v>
                </c:pt>
                <c:pt idx="158">
                  <c:v>7.7783216424816288</c:v>
                </c:pt>
                <c:pt idx="159">
                  <c:v>7.6380844001468535</c:v>
                </c:pt>
                <c:pt idx="160">
                  <c:v>7.4997945280451344</c:v>
                </c:pt>
                <c:pt idx="161">
                  <c:v>7.3634866574954874</c:v>
                </c:pt>
                <c:pt idx="162">
                  <c:v>7.2291941953741947</c:v>
                </c:pt>
                <c:pt idx="163">
                  <c:v>7.0969492105237721</c:v>
                </c:pt>
                <c:pt idx="164">
                  <c:v>6.9667823218141391</c:v>
                </c:pt>
                <c:pt idx="165">
                  <c:v>6.8387225886165135</c:v>
                </c:pt>
                <c:pt idx="166">
                  <c:v>6.7127974044614769</c:v>
                </c:pt>
                <c:pt idx="167">
                  <c:v>6.5890323946588945</c:v>
                </c:pt>
                <c:pt idx="168">
                  <c:v>6.4674513186492071</c:v>
                </c:pt>
                <c:pt idx="169">
                  <c:v>6.3480759778444487</c:v>
                </c:pt>
                <c:pt idx="170">
                  <c:v>6.2309261296903875</c:v>
                </c:pt>
                <c:pt idx="171">
                  <c:v>6.116019408648893</c:v>
                </c:pt>
                <c:pt idx="172">
                  <c:v>6.0033712547576652</c:v>
                </c:pt>
                <c:pt idx="173">
                  <c:v>5.8929948503685727</c:v>
                </c:pt>
                <c:pt idx="174">
                  <c:v>5.7849010656106072</c:v>
                </c:pt>
                <c:pt idx="175">
                  <c:v>5.6790984130487008</c:v>
                </c:pt>
                <c:pt idx="176">
                  <c:v>5.5755930119388299</c:v>
                </c:pt>
                <c:pt idx="177">
                  <c:v>5.4743885623961273</c:v>
                </c:pt>
                <c:pt idx="178">
                  <c:v>5.3754863297057565</c:v>
                </c:pt>
                <c:pt idx="179">
                  <c:v>5.2788851389173255</c:v>
                </c:pt>
                <c:pt idx="180">
                  <c:v>5.1845813797719593</c:v>
                </c:pt>
                <c:pt idx="181">
                  <c:v>5.0925690219167841</c:v>
                </c:pt>
                <c:pt idx="182">
                  <c:v>5.0028396402698529</c:v>
                </c:pt>
                <c:pt idx="183">
                  <c:v>4.9153824503103287</c:v>
                </c:pt>
                <c:pt idx="184">
                  <c:v>4.830184352978816</c:v>
                </c:pt>
                <c:pt idx="185">
                  <c:v>4.7472299887937455</c:v>
                </c:pt>
                <c:pt idx="186">
                  <c:v>4.666501800712445</c:v>
                </c:pt>
                <c:pt idx="187">
                  <c:v>4.5879801051958315</c:v>
                </c:pt>
                <c:pt idx="188">
                  <c:v>4.5116431708775293</c:v>
                </c:pt>
                <c:pt idx="189">
                  <c:v>4.4374673041806005</c:v>
                </c:pt>
                <c:pt idx="190">
                  <c:v>4.3654269411874553</c:v>
                </c:pt>
                <c:pt idx="191">
                  <c:v>4.2954947450293117</c:v>
                </c:pt>
                <c:pt idx="192">
                  <c:v>4.2276417080404531</c:v>
                </c:pt>
                <c:pt idx="193">
                  <c:v>4.1618372579060416</c:v>
                </c:pt>
                <c:pt idx="194">
                  <c:v>4.0980493670273797</c:v>
                </c:pt>
                <c:pt idx="195">
                  <c:v>4.0362446643315177</c:v>
                </c:pt>
                <c:pt idx="196">
                  <c:v>3.9763885487643358</c:v>
                </c:pt>
                <c:pt idx="197">
                  <c:v>3.9184453037263554</c:v>
                </c:pt>
                <c:pt idx="198">
                  <c:v>3.8623782117363858</c:v>
                </c:pt>
                <c:pt idx="199">
                  <c:v>3.8081496686429621</c:v>
                </c:pt>
                <c:pt idx="200">
                  <c:v>3.7557212967413993</c:v>
                </c:pt>
                <c:pt idx="201">
                  <c:v>3.7050540561973562</c:v>
                </c:pt>
                <c:pt idx="202">
                  <c:v>3.6561083542258217</c:v>
                </c:pt>
                <c:pt idx="203">
                  <c:v>3.6088441515236163</c:v>
                </c:pt>
                <c:pt idx="204">
                  <c:v>3.563221065505338</c:v>
                </c:pt>
                <c:pt idx="205">
                  <c:v>3.5191984699448002</c:v>
                </c:pt>
                <c:pt idx="206">
                  <c:v>3.4767355906792714</c:v>
                </c:pt>
                <c:pt idx="207">
                  <c:v>3.4357915970831137</c:v>
                </c:pt>
                <c:pt idx="208">
                  <c:v>3.3963256890718805</c:v>
                </c:pt>
                <c:pt idx="209">
                  <c:v>3.3582971794465339</c:v>
                </c:pt>
                <c:pt idx="210">
                  <c:v>3.3216655714351822</c:v>
                </c:pt>
                <c:pt idx="211">
                  <c:v>3.2863906313353342</c:v>
                </c:pt>
                <c:pt idx="212">
                  <c:v>3.2524324562023961</c:v>
                </c:pt>
                <c:pt idx="213">
                  <c:v>3.2197515365683813</c:v>
                </c:pt>
                <c:pt idx="214">
                  <c:v>3.1883088142121903</c:v>
                </c:pt>
                <c:pt idx="215">
                  <c:v>3.1580657350342562</c:v>
                </c:pt>
                <c:pt idx="216">
                  <c:v>3.128984297118734</c:v>
                </c:pt>
                <c:pt idx="217">
                  <c:v>3.1010270940906253</c:v>
                </c:pt>
                <c:pt idx="218">
                  <c:v>3.0741573539004934</c:v>
                </c:pt>
                <c:pt idx="219">
                  <c:v>3.0483389731840536</c:v>
                </c:pt>
                <c:pt idx="220">
                  <c:v>3.0235365473656133</c:v>
                </c:pt>
                <c:pt idx="221">
                  <c:v>2.9997153966825691</c:v>
                </c:pt>
                <c:pt idx="222">
                  <c:v>2.9768415883206636</c:v>
                </c:pt>
                <c:pt idx="223">
                  <c:v>2.9548819548580392</c:v>
                </c:pt>
                <c:pt idx="224">
                  <c:v>2.9338041092188707</c:v>
                </c:pt>
                <c:pt idx="225">
                  <c:v>2.9135764563439466</c:v>
                </c:pt>
                <c:pt idx="226">
                  <c:v>2.8941682017829979</c:v>
                </c:pt>
                <c:pt idx="227">
                  <c:v>2.8755493574161117</c:v>
                </c:pt>
                <c:pt idx="228">
                  <c:v>2.8576907445068462</c:v>
                </c:pt>
                <c:pt idx="229">
                  <c:v>2.840563994289492</c:v>
                </c:pt>
                <c:pt idx="230">
                  <c:v>2.8241415462832626</c:v>
                </c:pt>
                <c:pt idx="231">
                  <c:v>2.8083966445260726</c:v>
                </c:pt>
                <c:pt idx="232">
                  <c:v>2.7933033319099381</c:v>
                </c:pt>
                <c:pt idx="233">
                  <c:v>2.7788364427957903</c:v>
                </c:pt>
                <c:pt idx="234">
                  <c:v>2.7649715940750115</c:v>
                </c:pt>
                <c:pt idx="235">
                  <c:v>2.7516851748404374</c:v>
                </c:pt>
                <c:pt idx="236">
                  <c:v>2.7389543348185224</c:v>
                </c:pt>
                <c:pt idx="237">
                  <c:v>2.7267569717070304</c:v>
                </c:pt>
                <c:pt idx="238">
                  <c:v>2.715071717554852</c:v>
                </c:pt>
                <c:pt idx="239">
                  <c:v>2.7038779243101843</c:v>
                </c:pt>
                <c:pt idx="240">
                  <c:v>2.6931556486574042</c:v>
                </c:pt>
                <c:pt idx="241">
                  <c:v>2.6828856362527818</c:v>
                </c:pt>
                <c:pt idx="242">
                  <c:v>2.6730493054616495</c:v>
                </c:pt>
                <c:pt idx="243">
                  <c:v>2.6636287306927668</c:v>
                </c:pt>
                <c:pt idx="244">
                  <c:v>2.6546066254162728</c:v>
                </c:pt>
                <c:pt idx="245">
                  <c:v>2.6459663249466892</c:v>
                </c:pt>
                <c:pt idx="246">
                  <c:v>2.637691769063216</c:v>
                </c:pt>
                <c:pt idx="247">
                  <c:v>2.629767484534371</c:v>
                </c:pt>
                <c:pt idx="248">
                  <c:v>2.6221785676074374</c:v>
                </c:pt>
                <c:pt idx="249">
                  <c:v>2.6149106665167188</c:v>
                </c:pt>
                <c:pt idx="250">
                  <c:v>2.6079499640604906</c:v>
                </c:pt>
                <c:pt idx="251">
                  <c:v>2.6012831602885562</c:v>
                </c:pt>
                <c:pt idx="252">
                  <c:v>2.5948974553405972</c:v>
                </c:pt>
                <c:pt idx="253">
                  <c:v>2.5887805324685438</c:v>
                </c:pt>
                <c:pt idx="254">
                  <c:v>2.5829205412727072</c:v>
                </c:pt>
                <c:pt idx="255">
                  <c:v>2.5773060811781212</c:v>
                </c:pt>
                <c:pt idx="256">
                  <c:v>2.5719261851715474</c:v>
                </c:pt>
                <c:pt idx="257">
                  <c:v>2.5667703038200607</c:v>
                </c:pt>
                <c:pt idx="258">
                  <c:v>2.5618282895850419</c:v>
                </c:pt>
                <c:pt idx="259">
                  <c:v>2.5570903814442101</c:v>
                </c:pt>
                <c:pt idx="260">
                  <c:v>2.5525471898327727</c:v>
                </c:pt>
                <c:pt idx="261">
                  <c:v>2.5481896819103182</c:v>
                </c:pt>
                <c:pt idx="262">
                  <c:v>2.5440091671589182</c:v>
                </c:pt>
                <c:pt idx="263">
                  <c:v>2.5399972833162692</c:v>
                </c:pt>
                <c:pt idx="264">
                  <c:v>2.536145982644864</c:v>
                </c:pt>
                <c:pt idx="265">
                  <c:v>2.5324475185369537</c:v>
                </c:pt>
                <c:pt idx="266">
                  <c:v>2.5288944324543978</c:v>
                </c:pt>
                <c:pt idx="267">
                  <c:v>2.5254795412002009</c:v>
                </c:pt>
                <c:pt idx="268">
                  <c:v>2.5221959245165659</c:v>
                </c:pt>
                <c:pt idx="269">
                  <c:v>2.5190369130063166</c:v>
                </c:pt>
                <c:pt idx="270">
                  <c:v>2.5159960763691451</c:v>
                </c:pt>
                <c:pt idx="271">
                  <c:v>2.5130672119481048</c:v>
                </c:pt>
                <c:pt idx="272">
                  <c:v>2.5102443335764999</c:v>
                </c:pt>
                <c:pt idx="273">
                  <c:v>2.5075216607179991</c:v>
                </c:pt>
                <c:pt idx="274">
                  <c:v>2.5048936078910131</c:v>
                </c:pt>
                <c:pt idx="275">
                  <c:v>2.5023547743668413</c:v>
                </c:pt>
                <c:pt idx="276">
                  <c:v>2.4998999341331314</c:v>
                </c:pt>
                <c:pt idx="277">
                  <c:v>2.4975240261112934</c:v>
                </c:pt>
                <c:pt idx="278">
                  <c:v>2.4952221446178644</c:v>
                </c:pt>
                <c:pt idx="279">
                  <c:v>2.4929895300579901</c:v>
                </c:pt>
                <c:pt idx="280">
                  <c:v>2.4908215598420282</c:v>
                </c:pt>
                <c:pt idx="281">
                  <c:v>2.4887137395115331</c:v>
                </c:pt>
                <c:pt idx="282">
                  <c:v>2.4866616940644488</c:v>
                </c:pt>
                <c:pt idx="283">
                  <c:v>2.4846611594684251</c:v>
                </c:pt>
                <c:pt idx="284">
                  <c:v>2.4827079743488749</c:v>
                </c:pt>
                <c:pt idx="285">
                  <c:v>2.4807980718423712</c:v>
                </c:pt>
                <c:pt idx="286">
                  <c:v>2.4789274716008869</c:v>
                </c:pt>
                <c:pt idx="287">
                  <c:v>2.4770922719375168</c:v>
                </c:pt>
                <c:pt idx="288">
                  <c:v>2.4752886420997817</c:v>
                </c:pt>
                <c:pt idx="289">
                  <c:v>2.4735128146599719</c:v>
                </c:pt>
                <c:pt idx="290">
                  <c:v>2.4717610780098362</c:v>
                </c:pt>
                <c:pt idx="291">
                  <c:v>2.4700297689477329</c:v>
                </c:pt>
                <c:pt idx="292">
                  <c:v>2.4683152653463178</c:v>
                </c:pt>
                <c:pt idx="293">
                  <c:v>2.4666139788893346</c:v>
                </c:pt>
                <c:pt idx="294">
                  <c:v>2.4649223478644204</c:v>
                </c:pt>
                <c:pt idx="295">
                  <c:v>2.4632368300010219</c:v>
                </c:pt>
                <c:pt idx="296">
                  <c:v>2.4615538953406126</c:v>
                </c:pt>
                <c:pt idx="297">
                  <c:v>2.459870019128342</c:v>
                </c:pt>
                <c:pt idx="298">
                  <c:v>2.4581816747124132</c:v>
                </c:pt>
                <c:pt idx="299">
                  <c:v>2.4564853264414239</c:v>
                </c:pt>
                <c:pt idx="300">
                  <c:v>2.4547774225455834</c:v>
                </c:pt>
                <c:pt idx="301">
                  <c:v>2.4530543879913647</c:v>
                </c:pt>
                <c:pt idx="302">
                  <c:v>2.451312617296745</c:v>
                </c:pt>
                <c:pt idx="303">
                  <c:v>2.4495484672956538</c:v>
                </c:pt>
                <c:pt idx="304">
                  <c:v>2.4477582498393349</c:v>
                </c:pt>
                <c:pt idx="305">
                  <c:v>2.4459382244222039</c:v>
                </c:pt>
                <c:pt idx="306">
                  <c:v>2.4440845907215976</c:v>
                </c:pt>
                <c:pt idx="307">
                  <c:v>2.4421934810378358</c:v>
                </c:pt>
                <c:pt idx="308">
                  <c:v>2.4402609526234991</c:v>
                </c:pt>
                <c:pt idx="309">
                  <c:v>2.4382829798901309</c:v>
                </c:pt>
                <c:pt idx="310">
                  <c:v>2.4362554464800161</c:v>
                </c:pt>
                <c:pt idx="311">
                  <c:v>2.4341741371909404</c:v>
                </c:pt>
                <c:pt idx="312">
                  <c:v>2.4320347297431693</c:v>
                </c:pt>
                <c:pt idx="313">
                  <c:v>2.4298327863752114</c:v>
                </c:pt>
                <c:pt idx="314">
                  <c:v>2.4275637452579852</c:v>
                </c:pt>
                <c:pt idx="315">
                  <c:v>2.425222911715506</c:v>
                </c:pt>
                <c:pt idx="316">
                  <c:v>2.4228054492400868</c:v>
                </c:pt>
                <c:pt idx="317">
                  <c:v>2.4203063702908953</c:v>
                </c:pt>
                <c:pt idx="318">
                  <c:v>2.4177205268654167</c:v>
                </c:pt>
                <c:pt idx="319">
                  <c:v>2.4150426008311019</c:v>
                </c:pt>
                <c:pt idx="320">
                  <c:v>2.4122670940088211</c:v>
                </c:pt>
                <c:pt idx="321">
                  <c:v>2.4093883179957891</c:v>
                </c:pt>
                <c:pt idx="322">
                  <c:v>2.4064003837184629</c:v>
                </c:pt>
                <c:pt idx="323">
                  <c:v>2.4032971907061174</c:v>
                </c:pt>
                <c:pt idx="324">
                  <c:v>2.400072416075866</c:v>
                </c:pt>
                <c:pt idx="325">
                  <c:v>2.3967195032195971</c:v>
                </c:pt>
                <c:pt idx="326">
                  <c:v>2.3932316501854638</c:v>
                </c:pt>
                <c:pt idx="327">
                  <c:v>2.3896017977474471</c:v>
                </c:pt>
                <c:pt idx="328">
                  <c:v>2.3858226171536487</c:v>
                </c:pt>
                <c:pt idx="329">
                  <c:v>2.3818864975517968</c:v>
                </c:pt>
                <c:pt idx="330">
                  <c:v>2.3777855330827617</c:v>
                </c:pt>
                <c:pt idx="331">
                  <c:v>2.3735115096424</c:v>
                </c:pt>
                <c:pt idx="332">
                  <c:v>2.3690558913071644</c:v>
                </c:pt>
                <c:pt idx="333">
                  <c:v>2.3644098064234189</c:v>
                </c:pt>
                <c:pt idx="334">
                  <c:v>2.3595640333616084</c:v>
                </c:pt>
                <c:pt idx="335">
                  <c:v>2.3545089859364716</c:v>
                </c:pt>
                <c:pt idx="336">
                  <c:v>2.3492346984992403</c:v>
                </c:pt>
                <c:pt idx="337">
                  <c:v>2.3437308107073345</c:v>
                </c:pt>
                <c:pt idx="338">
                  <c:v>2.3379865519802827</c:v>
                </c:pt>
                <c:pt idx="339">
                  <c:v>2.3319907256541668</c:v>
                </c:pt>
                <c:pt idx="340">
                  <c:v>2.3257316928474063</c:v>
                </c:pt>
                <c:pt idx="341">
                  <c:v>2.3191973560563115</c:v>
                </c:pt>
                <c:pt idx="342">
                  <c:v>2.3123751424998842</c:v>
                </c:pt>
                <c:pt idx="343">
                  <c:v>2.3052519872383943</c:v>
                </c:pt>
                <c:pt idx="344">
                  <c:v>2.2978143160932691</c:v>
                </c:pt>
                <c:pt idx="345">
                  <c:v>2.2900480284007037</c:v>
                </c:pt>
                <c:pt idx="346">
                  <c:v>2.2819384796346638</c:v>
                </c:pt>
                <c:pt idx="347">
                  <c:v>2.2734704639414831</c:v>
                </c:pt>
                <c:pt idx="348">
                  <c:v>2.2646281966317732</c:v>
                </c:pt>
                <c:pt idx="349">
                  <c:v>2.2553952966813307</c:v>
                </c:pt>
                <c:pt idx="350">
                  <c:v>2.245754769299309</c:v>
                </c:pt>
                <c:pt idx="351">
                  <c:v>2.2356889886262414</c:v>
                </c:pt>
                <c:pt idx="352">
                  <c:v>2.2251796806335946</c:v>
                </c:pt>
                <c:pt idx="353">
                  <c:v>2.214207906299714</c:v>
                </c:pt>
                <c:pt idx="354">
                  <c:v>2.202754045148851</c:v>
                </c:pt>
                <c:pt idx="355">
                  <c:v>2.1907977792415578</c:v>
                </c:pt>
                <c:pt idx="356">
                  <c:v>2.1783180777191196</c:v>
                </c:pt>
                <c:pt idx="357">
                  <c:v>2.1652931820054517</c:v>
                </c:pt>
                <c:pt idx="358">
                  <c:v>2.151700591784766</c:v>
                </c:pt>
                <c:pt idx="359">
                  <c:v>2.137517051876622</c:v>
                </c:pt>
                <c:pt idx="360">
                  <c:v>2.1227185401411806</c:v>
                </c:pt>
                <c:pt idx="361">
                  <c:v>2.1072802565542674</c:v>
                </c:pt>
                <c:pt idx="362">
                  <c:v>2.0911766136024528</c:v>
                </c:pt>
                <c:pt idx="363">
                  <c:v>2.0743812281536327</c:v>
                </c:pt>
                <c:pt idx="364">
                  <c:v>2.0568669149698247</c:v>
                </c:pt>
                <c:pt idx="365">
                  <c:v>2.0386056820339782</c:v>
                </c:pt>
                <c:pt idx="366">
                  <c:v>2.0195687278729455</c:v>
                </c:pt>
                <c:pt idx="367">
                  <c:v>1.9997264410615532</c:v>
                </c:pt>
                <c:pt idx="368">
                  <c:v>1.9790484021026611</c:v>
                </c:pt>
                <c:pt idx="369">
                  <c:v>1.957503387881244</c:v>
                </c:pt>
                <c:pt idx="370">
                  <c:v>1.9350593788940409</c:v>
                </c:pt>
                <c:pt idx="371">
                  <c:v>1.9116835694605474</c:v>
                </c:pt>
                <c:pt idx="372">
                  <c:v>1.8873423811228485</c:v>
                </c:pt>
                <c:pt idx="373">
                  <c:v>1.8620014794381923</c:v>
                </c:pt>
                <c:pt idx="374">
                  <c:v>1.8356257943705474</c:v>
                </c:pt>
                <c:pt idx="375">
                  <c:v>1.808179544480204</c:v>
                </c:pt>
                <c:pt idx="376">
                  <c:v>1.779626265104056</c:v>
                </c:pt>
                <c:pt idx="377">
                  <c:v>1.7499288407122222</c:v>
                </c:pt>
                <c:pt idx="378">
                  <c:v>1.7190495416121332</c:v>
                </c:pt>
                <c:pt idx="379">
                  <c:v>1.6869500651586657</c:v>
                </c:pt>
                <c:pt idx="380">
                  <c:v>1.6535915816104572</c:v>
                </c:pt>
                <c:pt idx="381">
                  <c:v>1.6189347847518984</c:v>
                </c:pt>
                <c:pt idx="382">
                  <c:v>1.5829399473739065</c:v>
                </c:pt>
                <c:pt idx="383">
                  <c:v>1.5455669816852007</c:v>
                </c:pt>
                <c:pt idx="384">
                  <c:v>1.5067755046847595</c:v>
                </c:pt>
                <c:pt idx="385">
                  <c:v>1.466524908502095</c:v>
                </c:pt>
                <c:pt idx="386">
                  <c:v>1.424774435666716</c:v>
                </c:pt>
                <c:pt idx="387">
                  <c:v>1.3814832592307367</c:v>
                </c:pt>
                <c:pt idx="388">
                  <c:v>1.3366105676235023</c:v>
                </c:pt>
                <c:pt idx="389">
                  <c:v>1.2901156540710494</c:v>
                </c:pt>
                <c:pt idx="390">
                  <c:v>1.2419580103626899</c:v>
                </c:pt>
                <c:pt idx="391">
                  <c:v>1.192097424698956</c:v>
                </c:pt>
                <c:pt idx="392">
                  <c:v>1.1404940832998451</c:v>
                </c:pt>
                <c:pt idx="393">
                  <c:v>1.0871086754015118</c:v>
                </c:pt>
                <c:pt idx="394">
                  <c:v>1.0319025012150163</c:v>
                </c:pt>
                <c:pt idx="395">
                  <c:v>0.97483758237129792</c:v>
                </c:pt>
                <c:pt idx="396">
                  <c:v>0.91587677432041303</c:v>
                </c:pt>
                <c:pt idx="397">
                  <c:v>0.85498388011105764</c:v>
                </c:pt>
                <c:pt idx="398">
                  <c:v>0.79212376492599113</c:v>
                </c:pt>
                <c:pt idx="399">
                  <c:v>0.72726247071094874</c:v>
                </c:pt>
                <c:pt idx="400">
                  <c:v>0.66036733019736071</c:v>
                </c:pt>
                <c:pt idx="401">
                  <c:v>0.59140707958975625</c:v>
                </c:pt>
                <c:pt idx="402">
                  <c:v>0.52035196916469562</c:v>
                </c:pt>
                <c:pt idx="403">
                  <c:v>0.447173871013749</c:v>
                </c:pt>
                <c:pt idx="404">
                  <c:v>0.3718463831536411</c:v>
                </c:pt>
                <c:pt idx="405">
                  <c:v>0.2943449292302901</c:v>
                </c:pt>
                <c:pt idx="406">
                  <c:v>0.21464685305114026</c:v>
                </c:pt>
                <c:pt idx="407">
                  <c:v>0.13273150720366261</c:v>
                </c:pt>
                <c:pt idx="408">
                  <c:v>4.8580335043676155E-2</c:v>
                </c:pt>
                <c:pt idx="409">
                  <c:v>-3.7823054620651143E-2</c:v>
                </c:pt>
                <c:pt idx="410">
                  <c:v>-0.12649282077548316</c:v>
                </c:pt>
                <c:pt idx="411">
                  <c:v>-0.21744083195058742</c:v>
                </c:pt>
                <c:pt idx="412">
                  <c:v>-0.31067661697261439</c:v>
                </c:pt>
                <c:pt idx="413">
                  <c:v>-0.40620732515580599</c:v>
                </c:pt>
                <c:pt idx="414">
                  <c:v>-0.50403769628145889</c:v>
                </c:pt>
                <c:pt idx="415">
                  <c:v>-0.60417004063365032</c:v>
                </c:pt>
                <c:pt idx="416">
                  <c:v>-0.7066042292706648</c:v>
                </c:pt>
                <c:pt idx="417">
                  <c:v>-0.81133769461892546</c:v>
                </c:pt>
                <c:pt idx="418">
                  <c:v>-0.91836544138513965</c:v>
                </c:pt>
                <c:pt idx="419">
                  <c:v>-1.0276800676881908</c:v>
                </c:pt>
                <c:pt idx="420">
                  <c:v>-1.1392717962218917</c:v>
                </c:pt>
                <c:pt idx="421">
                  <c:v>-1.2531285151719962</c:v>
                </c:pt>
                <c:pt idx="422">
                  <c:v>-1.3692358285256125</c:v>
                </c:pt>
                <c:pt idx="423">
                  <c:v>-1.487577115332962</c:v>
                </c:pt>
                <c:pt idx="424">
                  <c:v>-1.6081335974112276</c:v>
                </c:pt>
                <c:pt idx="425">
                  <c:v>-1.7308844149116618</c:v>
                </c:pt>
                <c:pt idx="426">
                  <c:v>-1.8558067091194257</c:v>
                </c:pt>
                <c:pt idx="427">
                  <c:v>-1.98287571180498</c:v>
                </c:pt>
                <c:pt idx="428">
                  <c:v>-2.1120648404091833</c:v>
                </c:pt>
                <c:pt idx="429">
                  <c:v>-2.2433457983148166</c:v>
                </c:pt>
                <c:pt idx="430">
                  <c:v>-2.3766886794408228</c:v>
                </c:pt>
                <c:pt idx="431">
                  <c:v>-2.5120620763813877</c:v>
                </c:pt>
                <c:pt idx="432">
                  <c:v>-2.6494331913171809</c:v>
                </c:pt>
                <c:pt idx="433">
                  <c:v>-2.7887679489302379</c:v>
                </c:pt>
                <c:pt idx="434">
                  <c:v>-2.9300311105726324</c:v>
                </c:pt>
                <c:pt idx="435">
                  <c:v>-3.0731863889632276</c:v>
                </c:pt>
                <c:pt idx="436">
                  <c:v>-3.2181965627157574</c:v>
                </c:pt>
                <c:pt idx="437">
                  <c:v>-3.3650235900407028</c:v>
                </c:pt>
                <c:pt idx="438">
                  <c:v>-3.5136287210030797</c:v>
                </c:pt>
                <c:pt idx="439">
                  <c:v>-3.6639726077633732</c:v>
                </c:pt>
                <c:pt idx="440">
                  <c:v>-3.8160154122807057</c:v>
                </c:pt>
                <c:pt idx="441">
                  <c:v>-3.9697169110040784</c:v>
                </c:pt>
                <c:pt idx="442">
                  <c:v>-4.1250365961337252</c:v>
                </c:pt>
                <c:pt idx="443">
                  <c:v>-4.2819337730851208</c:v>
                </c:pt>
                <c:pt idx="444">
                  <c:v>-4.4403676538424088</c:v>
                </c:pt>
                <c:pt idx="445">
                  <c:v>-4.6002974459395514</c:v>
                </c:pt>
                <c:pt idx="446">
                  <c:v>-4.7616824368586954</c:v>
                </c:pt>
                <c:pt idx="447">
                  <c:v>-4.9244820736827508</c:v>
                </c:pt>
                <c:pt idx="448">
                  <c:v>-5.088656037887862</c:v>
                </c:pt>
                <c:pt idx="449">
                  <c:v>-5.2541643152020709</c:v>
                </c:pt>
                <c:pt idx="450">
                  <c:v>-5.4209672605004986</c:v>
                </c:pt>
                <c:pt idx="451">
                  <c:v>-5.5890256577410069</c:v>
                </c:pt>
                <c:pt idx="452">
                  <c:v>-5.7583007749831268</c:v>
                </c:pt>
                <c:pt idx="453">
                  <c:v>-5.9287544145580888</c:v>
                </c:pt>
                <c:pt idx="454">
                  <c:v>-6.1003489584907067</c:v>
                </c:pt>
                <c:pt idx="455">
                  <c:v>-6.2730474092934161</c:v>
                </c:pt>
                <c:pt idx="456">
                  <c:v>-6.4468134262752574</c:v>
                </c:pt>
                <c:pt idx="457">
                  <c:v>-6.621611357526529</c:v>
                </c:pt>
                <c:pt idx="458">
                  <c:v>-6.7974062677520388</c:v>
                </c:pt>
                <c:pt idx="459">
                  <c:v>-6.9741639621393867</c:v>
                </c:pt>
                <c:pt idx="460">
                  <c:v>-7.1518510064564778</c:v>
                </c:pt>
                <c:pt idx="461">
                  <c:v>-7.3304347435787811</c:v>
                </c:pt>
                <c:pt idx="462">
                  <c:v>-7.5098833066512762</c:v>
                </c:pt>
                <c:pt idx="463">
                  <c:v>-7.6901656290913571</c:v>
                </c:pt>
                <c:pt idx="464">
                  <c:v>-7.871251451639889</c:v>
                </c:pt>
                <c:pt idx="465">
                  <c:v>-8.0531113266652206</c:v>
                </c:pt>
                <c:pt idx="466">
                  <c:v>-8.2357166199228313</c:v>
                </c:pt>
                <c:pt idx="467">
                  <c:v>-8.4190395099681972</c:v>
                </c:pt>
                <c:pt idx="468">
                  <c:v>-8.6030529854167721</c:v>
                </c:pt>
                <c:pt idx="469">
                  <c:v>-8.7877308402363798</c:v>
                </c:pt>
                <c:pt idx="470">
                  <c:v>-8.9730476672537947</c:v>
                </c:pt>
                <c:pt idx="471">
                  <c:v>-9.1589788500464273</c:v>
                </c:pt>
                <c:pt idx="472">
                  <c:v>-9.3455005533850191</c:v>
                </c:pt>
                <c:pt idx="473">
                  <c:v>-9.5325897123835119</c:v>
                </c:pt>
                <c:pt idx="474">
                  <c:v>-9.7202240205049257</c:v>
                </c:pt>
                <c:pt idx="475">
                  <c:v>-9.908381916562254</c:v>
                </c:pt>
                <c:pt idx="476">
                  <c:v>-10.097042570847091</c:v>
                </c:pt>
                <c:pt idx="477">
                  <c:v>-10.286185870507845</c:v>
                </c:pt>
                <c:pt idx="478">
                  <c:v>-10.475792404293067</c:v>
                </c:pt>
                <c:pt idx="479">
                  <c:v>-10.66584344676728</c:v>
                </c:pt>
                <c:pt idx="480">
                  <c:v>-10.856320942096005</c:v>
                </c:pt>
                <c:pt idx="481">
                  <c:v>-11.047207487493347</c:v>
                </c:pt>
                <c:pt idx="482">
                  <c:v>-11.238486316415592</c:v>
                </c:pt>
                <c:pt idx="483">
                  <c:v>-11.43014128157648</c:v>
                </c:pt>
                <c:pt idx="484">
                  <c:v>-11.622156837855313</c:v>
                </c:pt>
                <c:pt idx="485">
                  <c:v>-11.814518025161744</c:v>
                </c:pt>
                <c:pt idx="486">
                  <c:v>-12.007210451313725</c:v>
                </c:pt>
                <c:pt idx="487">
                  <c:v>-12.20022027498243</c:v>
                </c:pt>
                <c:pt idx="488">
                  <c:v>-12.3935341887485</c:v>
                </c:pt>
                <c:pt idx="489">
                  <c:v>-12.587139402313667</c:v>
                </c:pt>
                <c:pt idx="490">
                  <c:v>-12.781023625901476</c:v>
                </c:pt>
                <c:pt idx="491">
                  <c:v>-12.97517505388363</c:v>
                </c:pt>
                <c:pt idx="492">
                  <c:v>-13.169582348655776</c:v>
                </c:pt>
                <c:pt idx="493">
                  <c:v>-13.364234624791788</c:v>
                </c:pt>
                <c:pt idx="494">
                  <c:v>-13.55912143349363</c:v>
                </c:pt>
                <c:pt idx="495">
                  <c:v>-13.754232747358239</c:v>
                </c:pt>
                <c:pt idx="496">
                  <c:v>-13.94955894547385</c:v>
                </c:pt>
                <c:pt idx="497">
                  <c:v>-14.145090798859636</c:v>
                </c:pt>
                <c:pt idx="498">
                  <c:v>-14.340819456257897</c:v>
                </c:pt>
                <c:pt idx="499">
                  <c:v>-14.536736430285654</c:v>
                </c:pt>
                <c:pt idx="500">
                  <c:v>-14.732833583953404</c:v>
                </c:pt>
                <c:pt idx="501">
                  <c:v>-14.929103117552334</c:v>
                </c:pt>
                <c:pt idx="502">
                  <c:v>-15.125537555913377</c:v>
                </c:pt>
                <c:pt idx="503">
                  <c:v>-15.322129736038717</c:v>
                </c:pt>
                <c:pt idx="504">
                  <c:v>-15.518872795104686</c:v>
                </c:pt>
                <c:pt idx="505">
                  <c:v>-15.715760158834202</c:v>
                </c:pt>
                <c:pt idx="506">
                  <c:v>-15.912785530236295</c:v>
                </c:pt>
                <c:pt idx="507">
                  <c:v>-16.109942878707816</c:v>
                </c:pt>
                <c:pt idx="508">
                  <c:v>-16.307226429494051</c:v>
                </c:pt>
                <c:pt idx="509">
                  <c:v>-16.504630653501668</c:v>
                </c:pt>
                <c:pt idx="510">
                  <c:v>-16.702150257459103</c:v>
                </c:pt>
                <c:pt idx="511">
                  <c:v>-16.899780174416534</c:v>
                </c:pt>
                <c:pt idx="512">
                  <c:v>-17.097515554580671</c:v>
                </c:pt>
                <c:pt idx="513">
                  <c:v>-17.29535175647468</c:v>
                </c:pt>
                <c:pt idx="514">
                  <c:v>-17.493284338417606</c:v>
                </c:pt>
                <c:pt idx="515">
                  <c:v>-17.691309050314288</c:v>
                </c:pt>
                <c:pt idx="516">
                  <c:v>-17.889421825748684</c:v>
                </c:pt>
                <c:pt idx="517">
                  <c:v>-18.087618774372284</c:v>
                </c:pt>
                <c:pt idx="518">
                  <c:v>-18.285896174578316</c:v>
                </c:pt>
                <c:pt idx="519">
                  <c:v>-18.484250466455808</c:v>
                </c:pt>
                <c:pt idx="520">
                  <c:v>-18.682678245012866</c:v>
                </c:pt>
                <c:pt idx="521">
                  <c:v>-18.88117625366305</c:v>
                </c:pt>
                <c:pt idx="522">
                  <c:v>-19.07974137796446</c:v>
                </c:pt>
                <c:pt idx="523">
                  <c:v>-19.278370639605772</c:v>
                </c:pt>
                <c:pt idx="524">
                  <c:v>-19.477061190629069</c:v>
                </c:pt>
                <c:pt idx="525">
                  <c:v>-19.675810307883658</c:v>
                </c:pt>
                <c:pt idx="526">
                  <c:v>-19.87461538770107</c:v>
                </c:pt>
                <c:pt idx="527">
                  <c:v>-20.073473940784456</c:v>
                </c:pt>
                <c:pt idx="528">
                  <c:v>-20.272383587306049</c:v>
                </c:pt>
                <c:pt idx="529">
                  <c:v>-20.471342052202694</c:v>
                </c:pt>
                <c:pt idx="530">
                  <c:v>-20.670347160665155</c:v>
                </c:pt>
                <c:pt idx="531">
                  <c:v>-20.869396833811699</c:v>
                </c:pt>
                <c:pt idx="532">
                  <c:v>-21.068489084541305</c:v>
                </c:pt>
                <c:pt idx="533">
                  <c:v>-21.267622013557876</c:v>
                </c:pt>
                <c:pt idx="534">
                  <c:v>-21.466793805560457</c:v>
                </c:pt>
                <c:pt idx="535">
                  <c:v>-21.666002725592662</c:v>
                </c:pt>
                <c:pt idx="536">
                  <c:v>-21.865247115544566</c:v>
                </c:pt>
                <c:pt idx="537">
                  <c:v>-22.064525390802501</c:v>
                </c:pt>
                <c:pt idx="538">
                  <c:v>-22.263836037039813</c:v>
                </c:pt>
                <c:pt idx="539">
                  <c:v>-22.463177607143319</c:v>
                </c:pt>
                <c:pt idx="540">
                  <c:v>-22.662548718270909</c:v>
                </c:pt>
                <c:pt idx="541">
                  <c:v>-22.861948049033643</c:v>
                </c:pt>
              </c:numCache>
            </c:numRef>
          </c:yVal>
          <c:smooth val="1"/>
          <c:extLst>
            <c:ext xmlns:c16="http://schemas.microsoft.com/office/drawing/2014/chart" uri="{C3380CC4-5D6E-409C-BE32-E72D297353CC}">
              <c16:uniqueId val="{00000000-0B5D-4E78-BD48-CC54C4E43363}"/>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90.968335787349147</c:v>
                </c:pt>
                <c:pt idx="1">
                  <c:v>90.990886722564241</c:v>
                </c:pt>
                <c:pt idx="2">
                  <c:v>91.013962614582198</c:v>
                </c:pt>
                <c:pt idx="3">
                  <c:v>91.037575668201455</c:v>
                </c:pt>
                <c:pt idx="4">
                  <c:v>91.061738370861775</c:v>
                </c:pt>
                <c:pt idx="5">
                  <c:v>91.086463499110394</c:v>
                </c:pt>
                <c:pt idx="6">
                  <c:v>91.111764125210229</c:v>
                </c:pt>
                <c:pt idx="7">
                  <c:v>91.1376536238932</c:v>
                </c:pt>
                <c:pt idx="8">
                  <c:v>91.164145679261068</c:v>
                </c:pt>
                <c:pt idx="9">
                  <c:v>91.191254291836799</c:v>
                </c:pt>
                <c:pt idx="10">
                  <c:v>91.218993785769243</c:v>
                </c:pt>
                <c:pt idx="11">
                  <c:v>91.247378816193461</c:v>
                </c:pt>
                <c:pt idx="12">
                  <c:v>91.276424376750242</c:v>
                </c:pt>
                <c:pt idx="13">
                  <c:v>91.306145807266901</c:v>
                </c:pt>
                <c:pt idx="14">
                  <c:v>91.336558801602564</c:v>
                </c:pt>
                <c:pt idx="15">
                  <c:v>91.367679415660604</c:v>
                </c:pt>
                <c:pt idx="16">
                  <c:v>91.399524075571037</c:v>
                </c:pt>
                <c:pt idx="17">
                  <c:v>91.432109586045613</c:v>
                </c:pt>
                <c:pt idx="18">
                  <c:v>91.465453138908416</c:v>
                </c:pt>
                <c:pt idx="19">
                  <c:v>91.499572321804635</c:v>
                </c:pt>
                <c:pt idx="20">
                  <c:v>91.534485127090321</c:v>
                </c:pt>
                <c:pt idx="21">
                  <c:v>91.570209960905544</c:v>
                </c:pt>
                <c:pt idx="22">
                  <c:v>91.606765652433921</c:v>
                </c:pt>
                <c:pt idx="23">
                  <c:v>91.64417146335056</c:v>
                </c:pt>
                <c:pt idx="24">
                  <c:v>91.682447097461548</c:v>
                </c:pt>
                <c:pt idx="25">
                  <c:v>91.721612710536746</c:v>
                </c:pt>
                <c:pt idx="26">
                  <c:v>91.761688920338642</c:v>
                </c:pt>
                <c:pt idx="27">
                  <c:v>91.802696816849277</c:v>
                </c:pt>
                <c:pt idx="28">
                  <c:v>91.844657972697419</c:v>
                </c:pt>
                <c:pt idx="29">
                  <c:v>91.887594453787983</c:v>
                </c:pt>
                <c:pt idx="30">
                  <c:v>91.931528830135377</c:v>
                </c:pt>
                <c:pt idx="31">
                  <c:v>91.976484186902681</c:v>
                </c:pt>
                <c:pt idx="32">
                  <c:v>92.022484135647957</c:v>
                </c:pt>
                <c:pt idx="33">
                  <c:v>92.069552825779027</c:v>
                </c:pt>
                <c:pt idx="34">
                  <c:v>92.117714956217952</c:v>
                </c:pt>
                <c:pt idx="35">
                  <c:v>92.166995787275795</c:v>
                </c:pt>
                <c:pt idx="36">
                  <c:v>92.21742115273851</c:v>
                </c:pt>
                <c:pt idx="37">
                  <c:v>92.269017472164009</c:v>
                </c:pt>
                <c:pt idx="38">
                  <c:v>92.321811763390613</c:v>
                </c:pt>
                <c:pt idx="39">
                  <c:v>92.375831655256306</c:v>
                </c:pt>
                <c:pt idx="40">
                  <c:v>92.431105400528153</c:v>
                </c:pt>
                <c:pt idx="41">
                  <c:v>92.487661889040865</c:v>
                </c:pt>
                <c:pt idx="42">
                  <c:v>92.545530661042562</c:v>
                </c:pt>
                <c:pt idx="43">
                  <c:v>92.604741920745823</c:v>
                </c:pt>
                <c:pt idx="44">
                  <c:v>92.66532655008173</c:v>
                </c:pt>
                <c:pt idx="45">
                  <c:v>92.727316122652994</c:v>
                </c:pt>
                <c:pt idx="46">
                  <c:v>92.790742917883122</c:v>
                </c:pt>
                <c:pt idx="47">
                  <c:v>92.855639935356521</c:v>
                </c:pt>
                <c:pt idx="48">
                  <c:v>92.922040909344929</c:v>
                </c:pt>
                <c:pt idx="49">
                  <c:v>92.989980323513421</c:v>
                </c:pt>
                <c:pt idx="50">
                  <c:v>93.059493425800085</c:v>
                </c:pt>
                <c:pt idx="51">
                  <c:v>93.130616243460892</c:v>
                </c:pt>
                <c:pt idx="52">
                  <c:v>93.203385598271112</c:v>
                </c:pt>
                <c:pt idx="53">
                  <c:v>93.277839121874237</c:v>
                </c:pt>
                <c:pt idx="54">
                  <c:v>93.354015271266235</c:v>
                </c:pt>
                <c:pt idx="55">
                  <c:v>93.431953344404121</c:v>
                </c:pt>
                <c:pt idx="56">
                  <c:v>93.511693495924789</c:v>
                </c:pt>
                <c:pt idx="57">
                  <c:v>93.59327675295954</c:v>
                </c:pt>
                <c:pt idx="58">
                  <c:v>93.676745031027366</c:v>
                </c:pt>
                <c:pt idx="59">
                  <c:v>93.762141149989915</c:v>
                </c:pt>
                <c:pt idx="60">
                  <c:v>93.8495088500473</c:v>
                </c:pt>
                <c:pt idx="61">
                  <c:v>93.938892807754215</c:v>
                </c:pt>
                <c:pt idx="62">
                  <c:v>94.030338652031773</c:v>
                </c:pt>
                <c:pt idx="63">
                  <c:v>94.123892980149904</c:v>
                </c:pt>
                <c:pt idx="64">
                  <c:v>94.219603373652561</c:v>
                </c:pt>
                <c:pt idx="65">
                  <c:v>94.317518414194211</c:v>
                </c:pt>
                <c:pt idx="66">
                  <c:v>94.417687699255595</c:v>
                </c:pt>
                <c:pt idx="67">
                  <c:v>94.520161857702846</c:v>
                </c:pt>
                <c:pt idx="68">
                  <c:v>94.624992565150308</c:v>
                </c:pt>
                <c:pt idx="69">
                  <c:v>94.732232559086441</c:v>
                </c:pt>
                <c:pt idx="70">
                  <c:v>94.841935653716291</c:v>
                </c:pt>
                <c:pt idx="71">
                  <c:v>94.954156754472791</c:v>
                </c:pt>
                <c:pt idx="72">
                  <c:v>95.068951872143529</c:v>
                </c:pt>
                <c:pt idx="73">
                  <c:v>95.18637813655684</c:v>
                </c:pt>
                <c:pt idx="74">
                  <c:v>95.306493809766025</c:v>
                </c:pt>
                <c:pt idx="75">
                  <c:v>95.42935829866677</c:v>
                </c:pt>
                <c:pt idx="76">
                  <c:v>95.555032166976858</c:v>
                </c:pt>
                <c:pt idx="77">
                  <c:v>95.683577146504192</c:v>
                </c:pt>
                <c:pt idx="78">
                  <c:v>95.815056147621249</c:v>
                </c:pt>
                <c:pt idx="79">
                  <c:v>95.949533268860819</c:v>
                </c:pt>
                <c:pt idx="80">
                  <c:v>96.087073805540115</c:v>
                </c:pt>
                <c:pt idx="81">
                  <c:v>96.227744257315805</c:v>
                </c:pt>
                <c:pt idx="82">
                  <c:v>96.371612334563963</c:v>
                </c:pt>
                <c:pt idx="83">
                  <c:v>96.518746963473816</c:v>
                </c:pt>
                <c:pt idx="84">
                  <c:v>96.669218289735809</c:v>
                </c:pt>
                <c:pt idx="85">
                  <c:v>96.8230976806976</c:v>
                </c:pt>
                <c:pt idx="86">
                  <c:v>96.980457725852276</c:v>
                </c:pt>
                <c:pt idx="87">
                  <c:v>97.141372235517295</c:v>
                </c:pt>
                <c:pt idx="88">
                  <c:v>97.305916237550719</c:v>
                </c:pt>
                <c:pt idx="89">
                  <c:v>97.474165971945723</c:v>
                </c:pt>
                <c:pt idx="90">
                  <c:v>97.646198883132072</c:v>
                </c:pt>
                <c:pt idx="91">
                  <c:v>97.822093609804966</c:v>
                </c:pt>
                <c:pt idx="92">
                  <c:v>98.001929972092526</c:v>
                </c:pt>
                <c:pt idx="93">
                  <c:v>98.185788955859621</c:v>
                </c:pt>
                <c:pt idx="94">
                  <c:v>98.373752693940247</c:v>
                </c:pt>
                <c:pt idx="95">
                  <c:v>98.56590444407378</c:v>
                </c:pt>
                <c:pt idx="96">
                  <c:v>98.762328563314327</c:v>
                </c:pt>
                <c:pt idx="97">
                  <c:v>98.96311047866925</c:v>
                </c:pt>
                <c:pt idx="98">
                  <c:v>99.168336653709801</c:v>
                </c:pt>
                <c:pt idx="99">
                  <c:v>99.378094550888719</c:v>
                </c:pt>
                <c:pt idx="100">
                  <c:v>99.592472589285791</c:v>
                </c:pt>
                <c:pt idx="101">
                  <c:v>99.811560097490755</c:v>
                </c:pt>
                <c:pt idx="102">
                  <c:v>100.03544726132399</c:v>
                </c:pt>
                <c:pt idx="103">
                  <c:v>100.26422506608107</c:v>
                </c:pt>
                <c:pt idx="104">
                  <c:v>100.49798523298037</c:v>
                </c:pt>
                <c:pt idx="105">
                  <c:v>100.73682014947867</c:v>
                </c:pt>
                <c:pt idx="106">
                  <c:v>100.98082279311373</c:v>
                </c:pt>
                <c:pt idx="107">
                  <c:v>101.2300866485228</c:v>
                </c:pt>
                <c:pt idx="108">
                  <c:v>101.48470561727692</c:v>
                </c:pt>
                <c:pt idx="109">
                  <c:v>101.74477392016648</c:v>
                </c:pt>
                <c:pt idx="110">
                  <c:v>102.01038599156831</c:v>
                </c:pt>
                <c:pt idx="111">
                  <c:v>102.28163636551798</c:v>
                </c:pt>
                <c:pt idx="112">
                  <c:v>102.55861955311403</c:v>
                </c:pt>
                <c:pt idx="113">
                  <c:v>102.84142991087781</c:v>
                </c:pt>
                <c:pt idx="114">
                  <c:v>103.13016149969749</c:v>
                </c:pt>
                <c:pt idx="115">
                  <c:v>103.42490793398933</c:v>
                </c:pt>
                <c:pt idx="116">
                  <c:v>103.72576222071974</c:v>
                </c:pt>
                <c:pt idx="117">
                  <c:v>104.03281658794447</c:v>
                </c:pt>
                <c:pt idx="118">
                  <c:v>104.3461623025339</c:v>
                </c:pt>
                <c:pt idx="119">
                  <c:v>104.66588947678028</c:v>
                </c:pt>
                <c:pt idx="120">
                  <c:v>104.99208686360235</c:v>
                </c:pt>
                <c:pt idx="121">
                  <c:v>105.32484164009792</c:v>
                </c:pt>
                <c:pt idx="122">
                  <c:v>105.66423917922677</c:v>
                </c:pt>
                <c:pt idx="123">
                  <c:v>106.01036280945263</c:v>
                </c:pt>
                <c:pt idx="124">
                  <c:v>106.3632935622189</c:v>
                </c:pt>
                <c:pt idx="125">
                  <c:v>106.7231099071883</c:v>
                </c:pt>
                <c:pt idx="126">
                  <c:v>107.08988747524184</c:v>
                </c:pt>
                <c:pt idx="127">
                  <c:v>107.46369876929802</c:v>
                </c:pt>
                <c:pt idx="128">
                  <c:v>107.84461286309572</c:v>
                </c:pt>
                <c:pt idx="129">
                  <c:v>108.2326950881729</c:v>
                </c:pt>
                <c:pt idx="130">
                  <c:v>108.62800670935638</c:v>
                </c:pt>
                <c:pt idx="131">
                  <c:v>109.03060458919862</c:v>
                </c:pt>
                <c:pt idx="132">
                  <c:v>109.44054084189506</c:v>
                </c:pt>
                <c:pt idx="133">
                  <c:v>109.85786247734492</c:v>
                </c:pt>
                <c:pt idx="134">
                  <c:v>110.28261103614302</c:v>
                </c:pt>
                <c:pt idx="135">
                  <c:v>110.71482221642934</c:v>
                </c:pt>
                <c:pt idx="136">
                  <c:v>111.15452549366869</c:v>
                </c:pt>
                <c:pt idx="137">
                  <c:v>111.60174373458096</c:v>
                </c:pt>
                <c:pt idx="138">
                  <c:v>112.05649280660123</c:v>
                </c:pt>
                <c:pt idx="139">
                  <c:v>112.51878118441647</c:v>
                </c:pt>
                <c:pt idx="140">
                  <c:v>112.98860955527978</c:v>
                </c:pt>
                <c:pt idx="141">
                  <c:v>113.46597042498487</c:v>
                </c:pt>
                <c:pt idx="142">
                  <c:v>113.95084772653887</c:v>
                </c:pt>
                <c:pt idx="143">
                  <c:v>114.44321643374694</c:v>
                </c:pt>
                <c:pt idx="144">
                  <c:v>114.9430421820781</c:v>
                </c:pt>
                <c:pt idx="145">
                  <c:v>115.45028089934088</c:v>
                </c:pt>
                <c:pt idx="146">
                  <c:v>115.96487844883991</c:v>
                </c:pt>
                <c:pt idx="147">
                  <c:v>116.48677028781992</c:v>
                </c:pt>
                <c:pt idx="148">
                  <c:v>117.01588114412246</c:v>
                </c:pt>
                <c:pt idx="149">
                  <c:v>117.55212471407562</c:v>
                </c:pt>
                <c:pt idx="150">
                  <c:v>118.09540338472002</c:v>
                </c:pt>
                <c:pt idx="151">
                  <c:v>118.64560798352065</c:v>
                </c:pt>
                <c:pt idx="152">
                  <c:v>119.20261755874164</c:v>
                </c:pt>
                <c:pt idx="153">
                  <c:v>119.76629919364787</c:v>
                </c:pt>
                <c:pt idx="154">
                  <c:v>120.33650785765929</c:v>
                </c:pt>
                <c:pt idx="155">
                  <c:v>120.9130862974984</c:v>
                </c:pt>
                <c:pt idx="156">
                  <c:v>121.49586497124935</c:v>
                </c:pt>
                <c:pt idx="157">
                  <c:v>122.0846620280952</c:v>
                </c:pt>
                <c:pt idx="158">
                  <c:v>122.67928333627756</c:v>
                </c:pt>
                <c:pt idx="159">
                  <c:v>123.27952256159304</c:v>
                </c:pt>
                <c:pt idx="160">
                  <c:v>123.88516129843568</c:v>
                </c:pt>
                <c:pt idx="161">
                  <c:v>124.49596925506457</c:v>
                </c:pt>
                <c:pt idx="162">
                  <c:v>125.11170449440573</c:v>
                </c:pt>
                <c:pt idx="163">
                  <c:v>125.73211373128125</c:v>
                </c:pt>
                <c:pt idx="164">
                  <c:v>126.356932686506</c:v>
                </c:pt>
                <c:pt idx="165">
                  <c:v>126.98588649783355</c:v>
                </c:pt>
                <c:pt idx="166">
                  <c:v>127.6186901872093</c:v>
                </c:pt>
                <c:pt idx="167">
                  <c:v>128.25504918329312</c:v>
                </c:pt>
                <c:pt idx="168">
                  <c:v>128.89465989766347</c:v>
                </c:pt>
                <c:pt idx="169">
                  <c:v>129.53721035259841</c:v>
                </c:pt>
                <c:pt idx="170">
                  <c:v>130.1823808577856</c:v>
                </c:pt>
                <c:pt idx="171">
                  <c:v>130.82984473280581</c:v>
                </c:pt>
                <c:pt idx="172">
                  <c:v>131.47926907173564</c:v>
                </c:pt>
                <c:pt idx="173">
                  <c:v>132.13031554574786</c:v>
                </c:pt>
                <c:pt idx="174">
                  <c:v>132.78264123915457</c:v>
                </c:pt>
                <c:pt idx="175">
                  <c:v>133.43589951396791</c:v>
                </c:pt>
                <c:pt idx="176">
                  <c:v>134.08974089770146</c:v>
                </c:pt>
                <c:pt idx="177">
                  <c:v>134.7438139888807</c:v>
                </c:pt>
                <c:pt idx="178">
                  <c:v>135.39776637450515</c:v>
                </c:pt>
                <c:pt idx="179">
                  <c:v>136.05124555357156</c:v>
                </c:pt>
                <c:pt idx="180">
                  <c:v>136.70389986069185</c:v>
                </c:pt>
                <c:pt idx="181">
                  <c:v>137.35537938383371</c:v>
                </c:pt>
                <c:pt idx="182">
                  <c:v>138.00533687028968</c:v>
                </c:pt>
                <c:pt idx="183">
                  <c:v>138.65342861511058</c:v>
                </c:pt>
                <c:pt idx="184">
                  <c:v>139.29931532645875</c:v>
                </c:pt>
                <c:pt idx="185">
                  <c:v>139.94266296259667</c:v>
                </c:pt>
                <c:pt idx="186">
                  <c:v>140.58314353556267</c:v>
                </c:pt>
                <c:pt idx="187">
                  <c:v>141.2204358769639</c:v>
                </c:pt>
                <c:pt idx="188">
                  <c:v>141.85422636174906</c:v>
                </c:pt>
                <c:pt idx="189">
                  <c:v>142.48420958627881</c:v>
                </c:pt>
                <c:pt idx="190">
                  <c:v>143.11008899752338</c:v>
                </c:pt>
                <c:pt idx="191">
                  <c:v>143.73157747070917</c:v>
                </c:pt>
                <c:pt idx="192">
                  <c:v>144.34839783328957</c:v>
                </c:pt>
                <c:pt idx="193">
                  <c:v>144.96028333363276</c:v>
                </c:pt>
                <c:pt idx="194">
                  <c:v>145.56697805335563</c:v>
                </c:pt>
                <c:pt idx="195">
                  <c:v>146.16823726274987</c:v>
                </c:pt>
                <c:pt idx="196">
                  <c:v>146.76382771925199</c:v>
                </c:pt>
                <c:pt idx="197">
                  <c:v>147.35352790938109</c:v>
                </c:pt>
                <c:pt idx="198">
                  <c:v>147.93712823501735</c:v>
                </c:pt>
                <c:pt idx="199">
                  <c:v>148.51443114531295</c:v>
                </c:pt>
                <c:pt idx="200">
                  <c:v>149.08525121589491</c:v>
                </c:pt>
                <c:pt idx="201">
                  <c:v>149.64941517736327</c:v>
                </c:pt>
                <c:pt idx="202">
                  <c:v>150.20676189537315</c:v>
                </c:pt>
                <c:pt idx="203">
                  <c:v>150.75714230484959</c:v>
                </c:pt>
                <c:pt idx="204">
                  <c:v>151.30041930108135</c:v>
                </c:pt>
                <c:pt idx="205">
                  <c:v>151.83646759060773</c:v>
                </c:pt>
                <c:pt idx="206">
                  <c:v>152.36517350493807</c:v>
                </c:pt>
                <c:pt idx="207">
                  <c:v>152.88643478022109</c:v>
                </c:pt>
                <c:pt idx="208">
                  <c:v>153.40016030602615</c:v>
                </c:pt>
                <c:pt idx="209">
                  <c:v>153.90626984641628</c:v>
                </c:pt>
                <c:pt idx="210">
                  <c:v>154.40469373645973</c:v>
                </c:pt>
                <c:pt idx="211">
                  <c:v>154.89537255728507</c:v>
                </c:pt>
                <c:pt idx="212">
                  <c:v>155.37825679270497</c:v>
                </c:pt>
                <c:pt idx="213">
                  <c:v>155.8533064703357</c:v>
                </c:pt>
                <c:pt idx="214">
                  <c:v>156.32049079002215</c:v>
                </c:pt>
                <c:pt idx="215">
                  <c:v>156.77978774224712</c:v>
                </c:pt>
                <c:pt idx="216">
                  <c:v>157.23118371905517</c:v>
                </c:pt>
                <c:pt idx="217">
                  <c:v>157.67467311986837</c:v>
                </c:pt>
                <c:pt idx="218">
                  <c:v>158.1102579544123</c:v>
                </c:pt>
                <c:pt idx="219">
                  <c:v>158.53794744479586</c:v>
                </c:pt>
                <c:pt idx="220">
                  <c:v>158.95775762863227</c:v>
                </c:pt>
                <c:pt idx="221">
                  <c:v>159.36971096491129</c:v>
                </c:pt>
                <c:pt idx="222">
                  <c:v>159.77383594417086</c:v>
                </c:pt>
                <c:pt idx="223">
                  <c:v>160.17016670435513</c:v>
                </c:pt>
                <c:pt idx="224">
                  <c:v>160.55874265358202</c:v>
                </c:pt>
                <c:pt idx="225">
                  <c:v>160.93960810090201</c:v>
                </c:pt>
                <c:pt idx="226">
                  <c:v>161.31281189597254</c:v>
                </c:pt>
                <c:pt idx="227">
                  <c:v>161.6784070784457</c:v>
                </c:pt>
                <c:pt idx="228">
                  <c:v>162.03645053772874</c:v>
                </c:pt>
                <c:pt idx="229">
                  <c:v>162.38700268366583</c:v>
                </c:pt>
                <c:pt idx="230">
                  <c:v>162.73012712856251</c:v>
                </c:pt>
                <c:pt idx="231">
                  <c:v>163.06589038088623</c:v>
                </c:pt>
                <c:pt idx="232">
                  <c:v>163.39436155086901</c:v>
                </c:pt>
                <c:pt idx="233">
                  <c:v>163.71561206815787</c:v>
                </c:pt>
                <c:pt idx="234">
                  <c:v>164.02971541157623</c:v>
                </c:pt>
                <c:pt idx="235">
                  <c:v>164.33674685099163</c:v>
                </c:pt>
                <c:pt idx="236">
                  <c:v>164.63678320122071</c:v>
                </c:pt>
                <c:pt idx="237">
                  <c:v>164.92990258784613</c:v>
                </c:pt>
                <c:pt idx="238">
                  <c:v>165.21618422477366</c:v>
                </c:pt>
                <c:pt idx="239">
                  <c:v>165.49570820330911</c:v>
                </c:pt>
                <c:pt idx="240">
                  <c:v>165.76855529250946</c:v>
                </c:pt>
                <c:pt idx="241">
                  <c:v>166.03480675051796</c:v>
                </c:pt>
                <c:pt idx="242">
                  <c:v>166.29454414657928</c:v>
                </c:pt>
                <c:pt idx="243">
                  <c:v>166.54784919340213</c:v>
                </c:pt>
                <c:pt idx="244">
                  <c:v>166.7948035895235</c:v>
                </c:pt>
                <c:pt idx="245">
                  <c:v>167.03548887131598</c:v>
                </c:pt>
                <c:pt idx="246">
                  <c:v>167.26998627426937</c:v>
                </c:pt>
                <c:pt idx="247">
                  <c:v>167.49837660317155</c:v>
                </c:pt>
                <c:pt idx="248">
                  <c:v>167.72074011081187</c:v>
                </c:pt>
                <c:pt idx="249">
                  <c:v>167.93715638482772</c:v>
                </c:pt>
                <c:pt idx="250">
                  <c:v>168.14770424232037</c:v>
                </c:pt>
                <c:pt idx="251">
                  <c:v>168.35246163186173</c:v>
                </c:pt>
                <c:pt idx="252">
                  <c:v>168.55150554252853</c:v>
                </c:pt>
                <c:pt idx="253">
                  <c:v>168.74491191959953</c:v>
                </c:pt>
                <c:pt idx="254">
                  <c:v>168.93275558656208</c:v>
                </c:pt>
                <c:pt idx="255">
                  <c:v>169.11511017308302</c:v>
                </c:pt>
                <c:pt idx="256">
                  <c:v>169.29204804860686</c:v>
                </c:pt>
                <c:pt idx="257">
                  <c:v>169.4636402612571</c:v>
                </c:pt>
                <c:pt idx="258">
                  <c:v>169.62995648172407</c:v>
                </c:pt>
                <c:pt idx="259">
                  <c:v>169.79106495183515</c:v>
                </c:pt>
                <c:pt idx="260">
                  <c:v>169.94703243751653</c:v>
                </c:pt>
                <c:pt idx="261">
                  <c:v>170.09792418586181</c:v>
                </c:pt>
                <c:pt idx="262">
                  <c:v>170.24380388604158</c:v>
                </c:pt>
                <c:pt idx="263">
                  <c:v>170.38473363379273</c:v>
                </c:pt>
                <c:pt idx="264">
                  <c:v>170.52077389924244</c:v>
                </c:pt>
                <c:pt idx="265">
                  <c:v>170.65198349783071</c:v>
                </c:pt>
                <c:pt idx="266">
                  <c:v>170.77841956410867</c:v>
                </c:pt>
                <c:pt idx="267">
                  <c:v>170.90013752819848</c:v>
                </c:pt>
                <c:pt idx="268">
                  <c:v>171.01719109471208</c:v>
                </c:pt>
                <c:pt idx="269">
                  <c:v>171.1296322239395</c:v>
                </c:pt>
                <c:pt idx="270">
                  <c:v>171.23751111512217</c:v>
                </c:pt>
                <c:pt idx="271">
                  <c:v>171.34087619164225</c:v>
                </c:pt>
                <c:pt idx="272">
                  <c:v>171.43977408796383</c:v>
                </c:pt>
                <c:pt idx="273">
                  <c:v>171.53424963817523</c:v>
                </c:pt>
                <c:pt idx="274">
                  <c:v>171.62434586598684</c:v>
                </c:pt>
                <c:pt idx="275">
                  <c:v>171.71010397605076</c:v>
                </c:pt>
                <c:pt idx="276">
                  <c:v>171.79156334647547</c:v>
                </c:pt>
                <c:pt idx="277">
                  <c:v>171.86876152241447</c:v>
                </c:pt>
                <c:pt idx="278">
                  <c:v>171.94173421062152</c:v>
                </c:pt>
                <c:pt idx="279">
                  <c:v>172.0105152748647</c:v>
                </c:pt>
                <c:pt idx="280">
                  <c:v>172.0751367321059</c:v>
                </c:pt>
                <c:pt idx="281">
                  <c:v>172.1356287493536</c:v>
                </c:pt>
                <c:pt idx="282">
                  <c:v>172.19201964110582</c:v>
                </c:pt>
                <c:pt idx="283">
                  <c:v>172.24433586730783</c:v>
                </c:pt>
                <c:pt idx="284">
                  <c:v>172.29260203175053</c:v>
                </c:pt>
                <c:pt idx="285">
                  <c:v>172.33684088084684</c:v>
                </c:pt>
                <c:pt idx="286">
                  <c:v>172.377073302724</c:v>
                </c:pt>
                <c:pt idx="287">
                  <c:v>172.41331832657906</c:v>
                </c:pt>
                <c:pt idx="288">
                  <c:v>172.44559312224646</c:v>
                </c:pt>
                <c:pt idx="289">
                  <c:v>172.47391299993515</c:v>
                </c:pt>
                <c:pt idx="290">
                  <c:v>172.49829141009337</c:v>
                </c:pt>
                <c:pt idx="291">
                  <c:v>172.51873994336836</c:v>
                </c:pt>
                <c:pt idx="292">
                  <c:v>172.53526833062915</c:v>
                </c:pt>
                <c:pt idx="293">
                  <c:v>172.54788444302693</c:v>
                </c:pt>
                <c:pt idx="294">
                  <c:v>172.55659429207111</c:v>
                </c:pt>
                <c:pt idx="295">
                  <c:v>172.56140202970431</c:v>
                </c:pt>
                <c:pt idx="296">
                  <c:v>172.56230994836218</c:v>
                </c:pt>
                <c:pt idx="297">
                  <c:v>172.55931848100892</c:v>
                </c:pt>
                <c:pt idx="298">
                  <c:v>172.55242620114478</c:v>
                </c:pt>
                <c:pt idx="299">
                  <c:v>172.54162982278334</c:v>
                </c:pt>
                <c:pt idx="300">
                  <c:v>172.52692420040108</c:v>
                </c:pt>
                <c:pt idx="301">
                  <c:v>172.50830232886926</c:v>
                </c:pt>
                <c:pt idx="302">
                  <c:v>172.48575534337556</c:v>
                </c:pt>
                <c:pt idx="303">
                  <c:v>172.45927251935447</c:v>
                </c:pt>
                <c:pt idx="304">
                  <c:v>172.42884127244372</c:v>
                </c:pt>
                <c:pt idx="305">
                  <c:v>172.39444715849208</c:v>
                </c:pt>
                <c:pt idx="306">
                  <c:v>172.35607387364595</c:v>
                </c:pt>
                <c:pt idx="307">
                  <c:v>172.31370325454813</c:v>
                </c:pt>
                <c:pt idx="308">
                  <c:v>172.26731527868643</c:v>
                </c:pt>
                <c:pt idx="309">
                  <c:v>172.21688806493304</c:v>
                </c:pt>
                <c:pt idx="310">
                  <c:v>172.16239787432363</c:v>
                </c:pt>
                <c:pt idx="311">
                  <c:v>172.1038191111266</c:v>
                </c:pt>
                <c:pt idx="312">
                  <c:v>172.04112432426072</c:v>
                </c:pt>
                <c:pt idx="313">
                  <c:v>171.97428420912402</c:v>
                </c:pt>
                <c:pt idx="314">
                  <c:v>171.90326760990158</c:v>
                </c:pt>
                <c:pt idx="315">
                  <c:v>171.82804152242781</c:v>
                </c:pt>
                <c:pt idx="316">
                  <c:v>171.74857109768325</c:v>
                </c:pt>
                <c:pt idx="317">
                  <c:v>171.66481964601175</c:v>
                </c:pt>
                <c:pt idx="318">
                  <c:v>171.57674864215326</c:v>
                </c:pt>
                <c:pt idx="319">
                  <c:v>171.48431773119154</c:v>
                </c:pt>
                <c:pt idx="320">
                  <c:v>171.38748473552485</c:v>
                </c:pt>
                <c:pt idx="321">
                  <c:v>171.28620566297482</c:v>
                </c:pt>
                <c:pt idx="322">
                  <c:v>171.18043471615673</c:v>
                </c:pt>
                <c:pt idx="323">
                  <c:v>171.07012430324178</c:v>
                </c:pt>
                <c:pt idx="324">
                  <c:v>170.95522505025221</c:v>
                </c:pt>
                <c:pt idx="325">
                  <c:v>170.83568581503604</c:v>
                </c:pt>
                <c:pt idx="326">
                  <c:v>170.71145370308105</c:v>
                </c:pt>
                <c:pt idx="327">
                  <c:v>170.58247408533396</c:v>
                </c:pt>
                <c:pt idx="328">
                  <c:v>170.44869061820066</c:v>
                </c:pt>
                <c:pt idx="329">
                  <c:v>170.31004526591755</c:v>
                </c:pt>
                <c:pt idx="330">
                  <c:v>170.16647832548722</c:v>
                </c:pt>
                <c:pt idx="331">
                  <c:v>170.01792845439013</c:v>
                </c:pt>
                <c:pt idx="332">
                  <c:v>169.8643327012889</c:v>
                </c:pt>
                <c:pt idx="333">
                  <c:v>169.70562653995529</c:v>
                </c:pt>
                <c:pt idx="334">
                  <c:v>169.5417439066639</c:v>
                </c:pt>
                <c:pt idx="335">
                  <c:v>169.37261724130005</c:v>
                </c:pt>
                <c:pt idx="336">
                  <c:v>169.19817753245292</c:v>
                </c:pt>
                <c:pt idx="337">
                  <c:v>169.01835436676356</c:v>
                </c:pt>
                <c:pt idx="338">
                  <c:v>168.83307598281911</c:v>
                </c:pt>
                <c:pt idx="339">
                  <c:v>168.64226932989163</c:v>
                </c:pt>
                <c:pt idx="340">
                  <c:v>168.44586013183016</c:v>
                </c:pt>
                <c:pt idx="341">
                  <c:v>168.24377295642762</c:v>
                </c:pt>
                <c:pt idx="342">
                  <c:v>168.03593129059453</c:v>
                </c:pt>
                <c:pt idx="343">
                  <c:v>167.82225762168036</c:v>
                </c:pt>
                <c:pt idx="344">
                  <c:v>167.60267352529178</c:v>
                </c:pt>
                <c:pt idx="345">
                  <c:v>167.37709975996765</c:v>
                </c:pt>
                <c:pt idx="346">
                  <c:v>167.14545636907454</c:v>
                </c:pt>
                <c:pt idx="347">
                  <c:v>166.90766279029725</c:v>
                </c:pt>
                <c:pt idx="348">
                  <c:v>166.66363797309447</c:v>
                </c:pt>
                <c:pt idx="349">
                  <c:v>166.41330050450264</c:v>
                </c:pt>
                <c:pt idx="350">
                  <c:v>166.1565687436628</c:v>
                </c:pt>
                <c:pt idx="351">
                  <c:v>165.89336096544901</c:v>
                </c:pt>
                <c:pt idx="352">
                  <c:v>165.62359551356735</c:v>
                </c:pt>
                <c:pt idx="353">
                  <c:v>165.34719096349201</c:v>
                </c:pt>
                <c:pt idx="354">
                  <c:v>165.0640662955889</c:v>
                </c:pt>
                <c:pt idx="355">
                  <c:v>164.77414107876777</c:v>
                </c:pt>
                <c:pt idx="356">
                  <c:v>164.4773356649788</c:v>
                </c:pt>
                <c:pt idx="357">
                  <c:v>164.17357139485176</c:v>
                </c:pt>
                <c:pt idx="358">
                  <c:v>163.86277081474543</c:v>
                </c:pt>
                <c:pt idx="359">
                  <c:v>163.5448579054389</c:v>
                </c:pt>
                <c:pt idx="360">
                  <c:v>163.21975832266068</c:v>
                </c:pt>
                <c:pt idx="361">
                  <c:v>162.88739964960305</c:v>
                </c:pt>
                <c:pt idx="362">
                  <c:v>162.5477116615192</c:v>
                </c:pt>
                <c:pt idx="363">
                  <c:v>162.20062660243499</c:v>
                </c:pt>
                <c:pt idx="364">
                  <c:v>161.84607947394943</c:v>
                </c:pt>
                <c:pt idx="365">
                  <c:v>161.48400833601502</c:v>
                </c:pt>
                <c:pt idx="366">
                  <c:v>161.11435461950933</c:v>
                </c:pt>
                <c:pt idx="367">
                  <c:v>160.73706345031954</c:v>
                </c:pt>
                <c:pt idx="368">
                  <c:v>160.35208398455475</c:v>
                </c:pt>
                <c:pt idx="369">
                  <c:v>159.95936975440435</c:v>
                </c:pt>
                <c:pt idx="370">
                  <c:v>159.55887902403006</c:v>
                </c:pt>
                <c:pt idx="371">
                  <c:v>159.15057515476215</c:v>
                </c:pt>
                <c:pt idx="372">
                  <c:v>158.73442697873651</c:v>
                </c:pt>
                <c:pt idx="373">
                  <c:v>158.31040917996077</c:v>
                </c:pt>
                <c:pt idx="374">
                  <c:v>157.87850268165835</c:v>
                </c:pt>
                <c:pt idx="375">
                  <c:v>157.4386950385759</c:v>
                </c:pt>
                <c:pt idx="376">
                  <c:v>156.99098083278494</c:v>
                </c:pt>
                <c:pt idx="377">
                  <c:v>156.53536207133996</c:v>
                </c:pt>
                <c:pt idx="378">
                  <c:v>156.07184858399191</c:v>
                </c:pt>
                <c:pt idx="379">
                  <c:v>155.60045841898366</c:v>
                </c:pt>
                <c:pt idx="380">
                  <c:v>155.12121823479114</c:v>
                </c:pt>
                <c:pt idx="381">
                  <c:v>154.6341636855056</c:v>
                </c:pt>
                <c:pt idx="382">
                  <c:v>154.13933979739679</c:v>
                </c:pt>
                <c:pt idx="383">
                  <c:v>153.63680133404779</c:v>
                </c:pt>
                <c:pt idx="384">
                  <c:v>153.12661314730863</c:v>
                </c:pt>
                <c:pt idx="385">
                  <c:v>152.60885051119467</c:v>
                </c:pt>
                <c:pt idx="386">
                  <c:v>152.08359943575019</c:v>
                </c:pt>
                <c:pt idx="387">
                  <c:v>151.55095695780224</c:v>
                </c:pt>
                <c:pt idx="388">
                  <c:v>151.01103140547664</c:v>
                </c:pt>
                <c:pt idx="389">
                  <c:v>150.46394263330896</c:v>
                </c:pt>
                <c:pt idx="390">
                  <c:v>149.90982222477305</c:v>
                </c:pt>
                <c:pt idx="391">
                  <c:v>149.34881365908558</c:v>
                </c:pt>
                <c:pt idx="392">
                  <c:v>148.78107243920837</c:v>
                </c:pt>
                <c:pt idx="393">
                  <c:v>148.20676617806615</c:v>
                </c:pt>
                <c:pt idx="394">
                  <c:v>147.62607464015562</c:v>
                </c:pt>
                <c:pt idx="395">
                  <c:v>147.03918973589467</c:v>
                </c:pt>
                <c:pt idx="396">
                  <c:v>146.44631546630063</c:v>
                </c:pt>
                <c:pt idx="397">
                  <c:v>145.84766781585154</c:v>
                </c:pt>
                <c:pt idx="398">
                  <c:v>145.24347459171233</c:v>
                </c:pt>
                <c:pt idx="399">
                  <c:v>144.63397520784912</c:v>
                </c:pt>
                <c:pt idx="400">
                  <c:v>144.019420412969</c:v>
                </c:pt>
                <c:pt idx="401">
                  <c:v>143.40007196163876</c:v>
                </c:pt>
                <c:pt idx="402">
                  <c:v>142.77620222841585</c:v>
                </c:pt>
                <c:pt idx="403">
                  <c:v>142.14809376530212</c:v>
                </c:pt>
                <c:pt idx="404">
                  <c:v>141.51603880335074</c:v>
                </c:pt>
                <c:pt idx="405">
                  <c:v>140.8803386997821</c:v>
                </c:pt>
                <c:pt idx="406">
                  <c:v>140.24130333249298</c:v>
                </c:pt>
                <c:pt idx="407">
                  <c:v>139.59925044438248</c:v>
                </c:pt>
                <c:pt idx="408">
                  <c:v>138.95450494043294</c:v>
                </c:pt>
                <c:pt idx="409">
                  <c:v>138.30739814099758</c:v>
                </c:pt>
                <c:pt idx="410">
                  <c:v>137.6582669952243</c:v>
                </c:pt>
                <c:pt idx="411">
                  <c:v>137.00745325898473</c:v>
                </c:pt>
                <c:pt idx="412">
                  <c:v>136.35530264209365</c:v>
                </c:pt>
                <c:pt idx="413">
                  <c:v>135.70216392994772</c:v>
                </c:pt>
                <c:pt idx="414">
                  <c:v>135.04838808501651</c:v>
                </c:pt>
                <c:pt idx="415">
                  <c:v>134.3943273338574</c:v>
                </c:pt>
                <c:pt idx="416">
                  <c:v>133.74033424549509</c:v>
                </c:pt>
                <c:pt idx="417">
                  <c:v>133.08676080710859</c:v>
                </c:pt>
                <c:pt idx="418">
                  <c:v>132.43395750300917</c:v>
                </c:pt>
                <c:pt idx="419">
                  <c:v>131.7822724028369</c:v>
                </c:pt>
                <c:pt idx="420">
                  <c:v>131.13205026480918</c:v>
                </c:pt>
                <c:pt idx="421">
                  <c:v>130.48363165966396</c:v>
                </c:pt>
                <c:pt idx="422">
                  <c:v>129.83735212070127</c:v>
                </c:pt>
                <c:pt idx="423">
                  <c:v>129.19354132501709</c:v>
                </c:pt>
                <c:pt idx="424">
                  <c:v>128.55252231066746</c:v>
                </c:pt>
                <c:pt idx="425">
                  <c:v>127.91461073408618</c:v>
                </c:pt>
                <c:pt idx="426">
                  <c:v>127.28011417163391</c:v>
                </c:pt>
                <c:pt idx="427">
                  <c:v>126.64933146867202</c:v>
                </c:pt>
                <c:pt idx="428">
                  <c:v>126.02255213904486</c:v>
                </c:pt>
                <c:pt idx="429">
                  <c:v>125.40005581732882</c:v>
                </c:pt>
                <c:pt idx="430">
                  <c:v>124.78211176567852</c:v>
                </c:pt>
                <c:pt idx="431">
                  <c:v>124.16897843656228</c:v>
                </c:pt>
                <c:pt idx="432">
                  <c:v>123.56090309215806</c:v>
                </c:pt>
                <c:pt idx="433">
                  <c:v>122.95812148066823</c:v>
                </c:pt>
                <c:pt idx="434">
                  <c:v>122.36085756932577</c:v>
                </c:pt>
                <c:pt idx="435">
                  <c:v>121.76932333340361</c:v>
                </c:pt>
                <c:pt idx="436">
                  <c:v>121.18371860010556</c:v>
                </c:pt>
                <c:pt idx="437">
                  <c:v>120.60423094583314</c:v>
                </c:pt>
                <c:pt idx="438">
                  <c:v>120.03103564496031</c:v>
                </c:pt>
                <c:pt idx="439">
                  <c:v>119.46429566794374</c:v>
                </c:pt>
                <c:pt idx="440">
                  <c:v>118.90416172632442</c:v>
                </c:pt>
                <c:pt idx="441">
                  <c:v>118.35077236194978</c:v>
                </c:pt>
                <c:pt idx="442">
                  <c:v>117.80425407756852</c:v>
                </c:pt>
                <c:pt idx="443">
                  <c:v>117.26472150580447</c:v>
                </c:pt>
                <c:pt idx="444">
                  <c:v>116.7322776134213</c:v>
                </c:pt>
                <c:pt idx="445">
                  <c:v>116.20701393772661</c:v>
                </c:pt>
                <c:pt idx="446">
                  <c:v>115.68901085194035</c:v>
                </c:pt>
                <c:pt idx="447">
                  <c:v>115.17833785636162</c:v>
                </c:pt>
                <c:pt idx="448">
                  <c:v>114.67505389220446</c:v>
                </c:pt>
                <c:pt idx="449">
                  <c:v>114.17920767504465</c:v>
                </c:pt>
                <c:pt idx="450">
                  <c:v>113.69083804489814</c:v>
                </c:pt>
                <c:pt idx="451">
                  <c:v>113.20997433007652</c:v>
                </c:pt>
                <c:pt idx="452">
                  <c:v>112.73663672207402</c:v>
                </c:pt>
                <c:pt idx="453">
                  <c:v>112.27083665889907</c:v>
                </c:pt>
                <c:pt idx="454">
                  <c:v>111.81257721439779</c:v>
                </c:pt>
                <c:pt idx="455">
                  <c:v>111.3618534912866</c:v>
                </c:pt>
                <c:pt idx="456">
                  <c:v>110.91865301577594</c:v>
                </c:pt>
                <c:pt idx="457">
                  <c:v>110.48295613182428</c:v>
                </c:pt>
                <c:pt idx="458">
                  <c:v>110.05473639324155</c:v>
                </c:pt>
                <c:pt idx="459">
                  <c:v>109.63396095202205</c:v>
                </c:pt>
                <c:pt idx="460">
                  <c:v>109.22059094145027</c:v>
                </c:pt>
                <c:pt idx="461">
                  <c:v>108.81458185268606</c:v>
                </c:pt>
                <c:pt idx="462">
                  <c:v>108.41588390368845</c:v>
                </c:pt>
                <c:pt idx="463">
                  <c:v>108.02444239948426</c:v>
                </c:pt>
                <c:pt idx="464">
                  <c:v>107.64019808293054</c:v>
                </c:pt>
                <c:pt idx="465">
                  <c:v>107.26308747525201</c:v>
                </c:pt>
                <c:pt idx="466">
                  <c:v>106.8930432057563</c:v>
                </c:pt>
                <c:pt idx="467">
                  <c:v>106.52999433025323</c:v>
                </c:pt>
                <c:pt idx="468">
                  <c:v>106.17386663780265</c:v>
                </c:pt>
                <c:pt idx="469">
                  <c:v>105.82458294552309</c:v>
                </c:pt>
                <c:pt idx="470">
                  <c:v>105.48206338127731</c:v>
                </c:pt>
                <c:pt idx="471">
                  <c:v>105.14622565413622</c:v>
                </c:pt>
                <c:pt idx="472">
                  <c:v>104.81698531259623</c:v>
                </c:pt>
                <c:pt idx="473">
                  <c:v>104.49425599059147</c:v>
                </c:pt>
                <c:pt idx="474">
                  <c:v>104.17794964139786</c:v>
                </c:pt>
                <c:pt idx="475">
                  <c:v>103.86797675958547</c:v>
                </c:pt>
                <c:pt idx="476">
                  <c:v>103.56424659120962</c:v>
                </c:pt>
                <c:pt idx="477">
                  <c:v>103.26666733248103</c:v>
                </c:pt>
                <c:pt idx="478">
                  <c:v>102.9751463171809</c:v>
                </c:pt>
                <c:pt idx="479">
                  <c:v>102.68959019311812</c:v>
                </c:pt>
                <c:pt idx="480">
                  <c:v>102.40990508794692</c:v>
                </c:pt>
                <c:pt idx="481">
                  <c:v>102.1359967646838</c:v>
                </c:pt>
                <c:pt idx="482">
                  <c:v>101.86777076727338</c:v>
                </c:pt>
                <c:pt idx="483">
                  <c:v>101.60513255656836</c:v>
                </c:pt>
                <c:pt idx="484">
                  <c:v>101.3479876370901</c:v>
                </c:pt>
                <c:pt idx="485">
                  <c:v>101.09624167494627</c:v>
                </c:pt>
                <c:pt idx="486">
                  <c:v>100.84980060727976</c:v>
                </c:pt>
                <c:pt idx="487">
                  <c:v>100.60857074362463</c:v>
                </c:pt>
                <c:pt idx="488">
                  <c:v>100.3724588595408</c:v>
                </c:pt>
                <c:pt idx="489">
                  <c:v>100.14137228289673</c:v>
                </c:pt>
                <c:pt idx="490">
                  <c:v>99.91521897316008</c:v>
                </c:pt>
                <c:pt idx="491">
                  <c:v>99.69390759405357</c:v>
                </c:pt>
                <c:pt idx="492">
                  <c:v>99.477347579920732</c:v>
                </c:pt>
                <c:pt idx="493">
                  <c:v>99.265449196140565</c:v>
                </c:pt>
                <c:pt idx="494">
                  <c:v>99.058123593916818</c:v>
                </c:pt>
                <c:pt idx="495">
                  <c:v>98.855282859761772</c:v>
                </c:pt>
                <c:pt idx="496">
                  <c:v>98.656840059977881</c:v>
                </c:pt>
                <c:pt idx="497">
                  <c:v>98.462709280433856</c:v>
                </c:pt>
                <c:pt idx="498">
                  <c:v>98.272805661920074</c:v>
                </c:pt>
                <c:pt idx="499">
                  <c:v>98.087045431352195</c:v>
                </c:pt>
                <c:pt idx="500">
                  <c:v>97.905345929087943</c:v>
                </c:pt>
                <c:pt idx="501">
                  <c:v>97.727625632602994</c:v>
                </c:pt>
                <c:pt idx="502">
                  <c:v>97.553804176765269</c:v>
                </c:pt>
                <c:pt idx="503">
                  <c:v>97.383802370935086</c:v>
                </c:pt>
                <c:pt idx="504">
                  <c:v>97.217542213105006</c:v>
                </c:pt>
                <c:pt idx="505">
                  <c:v>97.054946901286783</c:v>
                </c:pt>
                <c:pt idx="506">
                  <c:v>96.89594084233795</c:v>
                </c:pt>
                <c:pt idx="507">
                  <c:v>96.740449658413667</c:v>
                </c:pt>
                <c:pt idx="508">
                  <c:v>96.588400191217829</c:v>
                </c:pt>
                <c:pt idx="509">
                  <c:v>96.439720504218698</c:v>
                </c:pt>
                <c:pt idx="510">
                  <c:v>96.294339882985184</c:v>
                </c:pt>
                <c:pt idx="511">
                  <c:v>96.152188833789893</c:v>
                </c:pt>
                <c:pt idx="512">
                  <c:v>96.013199080618477</c:v>
                </c:pt>
                <c:pt idx="513">
                  <c:v>95.877303560715404</c:v>
                </c:pt>
                <c:pt idx="514">
                  <c:v>95.744436418788268</c:v>
                </c:pt>
                <c:pt idx="515">
                  <c:v>95.614532999986622</c:v>
                </c:pt>
                <c:pt idx="516">
                  <c:v>95.487529841763362</c:v>
                </c:pt>
                <c:pt idx="517">
                  <c:v>95.363364664719171</c:v>
                </c:pt>
                <c:pt idx="518">
                  <c:v>95.2419763625266</c:v>
                </c:pt>
                <c:pt idx="519">
                  <c:v>95.123304991020831</c:v>
                </c:pt>
                <c:pt idx="520">
                  <c:v>95.00729175654223</c:v>
                </c:pt>
                <c:pt idx="521">
                  <c:v>94.893879003606472</c:v>
                </c:pt>
                <c:pt idx="522">
                  <c:v>94.783010201976055</c:v>
                </c:pt>
                <c:pt idx="523">
                  <c:v>94.674629933200038</c:v>
                </c:pt>
                <c:pt idx="524">
                  <c:v>94.568683876685043</c:v>
                </c:pt>
                <c:pt idx="525">
                  <c:v>94.465118795356446</c:v>
                </c:pt>
                <c:pt idx="526">
                  <c:v>94.363882520963912</c:v>
                </c:pt>
                <c:pt idx="527">
                  <c:v>94.2649239390812</c:v>
                </c:pt>
                <c:pt idx="528">
                  <c:v>94.168192973848846</c:v>
                </c:pt>
                <c:pt idx="529">
                  <c:v>94.073640572500963</c:v>
                </c:pt>
                <c:pt idx="530">
                  <c:v>93.981218689718105</c:v>
                </c:pt>
                <c:pt idx="531">
                  <c:v>93.89088027184259</c:v>
                </c:pt>
                <c:pt idx="532">
                  <c:v>93.802579240990596</c:v>
                </c:pt>
                <c:pt idx="533">
                  <c:v>93.716270479092913</c:v>
                </c:pt>
                <c:pt idx="534">
                  <c:v>93.631909811893479</c:v>
                </c:pt>
                <c:pt idx="535">
                  <c:v>93.549453992932015</c:v>
                </c:pt>
                <c:pt idx="536">
                  <c:v>93.468860687536193</c:v>
                </c:pt>
                <c:pt idx="537">
                  <c:v>93.390088456844879</c:v>
                </c:pt>
                <c:pt idx="538">
                  <c:v>93.313096741883896</c:v>
                </c:pt>
                <c:pt idx="539">
                  <c:v>93.237845847712606</c:v>
                </c:pt>
                <c:pt idx="540">
                  <c:v>93.164296927658668</c:v>
                </c:pt>
                <c:pt idx="541">
                  <c:v>93.092411967656304</c:v>
                </c:pt>
              </c:numCache>
            </c:numRef>
          </c:yVal>
          <c:smooth val="1"/>
          <c:extLst>
            <c:ext xmlns:c16="http://schemas.microsoft.com/office/drawing/2014/chart" uri="{C3380CC4-5D6E-409C-BE32-E72D297353CC}">
              <c16:uniqueId val="{00000001-0B5D-4E78-BD48-CC54C4E43363}"/>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72.340287115963193</c:v>
                </c:pt>
                <c:pt idx="1">
                  <c:v>72.127754034236006</c:v>
                </c:pt>
                <c:pt idx="2">
                  <c:v>71.914669313380443</c:v>
                </c:pt>
                <c:pt idx="3">
                  <c:v>71.701010462192187</c:v>
                </c:pt>
                <c:pt idx="4">
                  <c:v>71.486754232261688</c:v>
                </c:pt>
                <c:pt idx="5">
                  <c:v>71.271876606746062</c:v>
                </c:pt>
                <c:pt idx="6">
                  <c:v>71.056352790360535</c:v>
                </c:pt>
                <c:pt idx="7">
                  <c:v>70.84015720074261</c:v>
                </c:pt>
                <c:pt idx="8">
                  <c:v>70.62326346135022</c:v>
                </c:pt>
                <c:pt idx="9">
                  <c:v>70.40564439606166</c:v>
                </c:pt>
                <c:pt idx="10">
                  <c:v>70.187272025654636</c:v>
                </c:pt>
                <c:pt idx="11">
                  <c:v>69.968117566348326</c:v>
                </c:pt>
                <c:pt idx="12">
                  <c:v>69.748151430597702</c:v>
                </c:pt>
                <c:pt idx="13">
                  <c:v>69.527343230337365</c:v>
                </c:pt>
                <c:pt idx="14">
                  <c:v>69.305661782875234</c:v>
                </c:pt>
                <c:pt idx="15">
                  <c:v>69.08307511964064</c:v>
                </c:pt>
                <c:pt idx="16">
                  <c:v>68.859550497994363</c:v>
                </c:pt>
                <c:pt idx="17">
                  <c:v>68.635054416307653</c:v>
                </c:pt>
                <c:pt idx="18">
                  <c:v>68.409552632518668</c:v>
                </c:pt>
                <c:pt idx="19">
                  <c:v>68.18301018636943</c:v>
                </c:pt>
                <c:pt idx="20">
                  <c:v>67.955391425523203</c:v>
                </c:pt>
                <c:pt idx="21">
                  <c:v>67.726660035755074</c:v>
                </c:pt>
                <c:pt idx="22">
                  <c:v>67.496779075396901</c:v>
                </c:pt>
                <c:pt idx="23">
                  <c:v>67.26571101420781</c:v>
                </c:pt>
                <c:pt idx="24">
                  <c:v>67.033417776823427</c:v>
                </c:pt>
                <c:pt idx="25">
                  <c:v>66.799860790919951</c:v>
                </c:pt>
                <c:pt idx="26">
                  <c:v>66.565001040207193</c:v>
                </c:pt>
                <c:pt idx="27">
                  <c:v>66.328799122338125</c:v>
                </c:pt>
                <c:pt idx="28">
                  <c:v>66.09121531179602</c:v>
                </c:pt>
                <c:pt idx="29">
                  <c:v>65.852209627786095</c:v>
                </c:pt>
                <c:pt idx="30">
                  <c:v>65.611741907124525</c:v>
                </c:pt>
                <c:pt idx="31">
                  <c:v>65.369771882078552</c:v>
                </c:pt>
                <c:pt idx="32">
                  <c:v>65.126259263068874</c:v>
                </c:pt>
                <c:pt idx="33">
                  <c:v>64.881163826101982</c:v>
                </c:pt>
                <c:pt idx="34">
                  <c:v>64.634445504751625</c:v>
                </c:pt>
                <c:pt idx="35">
                  <c:v>64.386064486459929</c:v>
                </c:pt>
                <c:pt idx="36">
                  <c:v>64.13598131287641</c:v>
                </c:pt>
                <c:pt idx="37">
                  <c:v>63.884156983902109</c:v>
                </c:pt>
                <c:pt idx="38">
                  <c:v>63.630553065052041</c:v>
                </c:pt>
                <c:pt idx="39">
                  <c:v>63.375131797696241</c:v>
                </c:pt>
                <c:pt idx="40">
                  <c:v>63.117856211689244</c:v>
                </c:pt>
                <c:pt idx="41">
                  <c:v>62.858690239846176</c:v>
                </c:pt>
                <c:pt idx="42">
                  <c:v>62.597598833677253</c:v>
                </c:pt>
                <c:pt idx="43">
                  <c:v>62.334548079748338</c:v>
                </c:pt>
                <c:pt idx="44">
                  <c:v>62.069505315995471</c:v>
                </c:pt>
                <c:pt idx="45">
                  <c:v>61.802439247287843</c:v>
                </c:pt>
                <c:pt idx="46">
                  <c:v>61.533320059504774</c:v>
                </c:pt>
                <c:pt idx="47">
                  <c:v>61.262119531373294</c:v>
                </c:pt>
                <c:pt idx="48">
                  <c:v>60.988811143296928</c:v>
                </c:pt>
                <c:pt idx="49">
                  <c:v>60.7133701824051</c:v>
                </c:pt>
                <c:pt idx="50">
                  <c:v>60.435773843053902</c:v>
                </c:pt>
                <c:pt idx="51">
                  <c:v>60.156001322023911</c:v>
                </c:pt>
                <c:pt idx="52">
                  <c:v>59.874033907684691</c:v>
                </c:pt>
                <c:pt idx="53">
                  <c:v>59.589855062425556</c:v>
                </c:pt>
                <c:pt idx="54">
                  <c:v>59.303450497698705</c:v>
                </c:pt>
                <c:pt idx="55">
                  <c:v>59.014808241067264</c:v>
                </c:pt>
                <c:pt idx="56">
                  <c:v>58.723918694715486</c:v>
                </c:pt>
                <c:pt idx="57">
                  <c:v>58.430774684942442</c:v>
                </c:pt>
                <c:pt idx="58">
                  <c:v>58.135371502239167</c:v>
                </c:pt>
                <c:pt idx="59">
                  <c:v>57.837706931626862</c:v>
                </c:pt>
                <c:pt idx="60">
                  <c:v>57.537781273023839</c:v>
                </c:pt>
                <c:pt idx="61">
                  <c:v>57.235597351494398</c:v>
                </c:pt>
                <c:pt idx="62">
                  <c:v>56.931160517329928</c:v>
                </c:pt>
                <c:pt idx="63">
                  <c:v>56.624478635999857</c:v>
                </c:pt>
                <c:pt idx="64">
                  <c:v>56.315562068108164</c:v>
                </c:pt>
                <c:pt idx="65">
                  <c:v>56.00442363957805</c:v>
                </c:pt>
                <c:pt idx="66">
                  <c:v>55.691078602376152</c:v>
                </c:pt>
                <c:pt idx="67">
                  <c:v>55.375544586168701</c:v>
                </c:pt>
                <c:pt idx="68">
                  <c:v>55.057841541383112</c:v>
                </c:pt>
                <c:pt idx="69">
                  <c:v>54.737991674211806</c:v>
                </c:pt>
                <c:pt idx="70">
                  <c:v>54.416019374164165</c:v>
                </c:pt>
                <c:pt idx="71">
                  <c:v>54.091951134820569</c:v>
                </c:pt>
                <c:pt idx="72">
                  <c:v>53.765815468492463</c:v>
                </c:pt>
                <c:pt idx="73">
                  <c:v>53.43764281552118</c:v>
                </c:pt>
                <c:pt idx="74">
                  <c:v>53.107465448982182</c:v>
                </c:pt>
                <c:pt idx="75">
                  <c:v>52.775317375567887</c:v>
                </c:pt>
                <c:pt idx="76">
                  <c:v>52.441234233438259</c:v>
                </c:pt>
                <c:pt idx="77">
                  <c:v>52.105253187818477</c:v>
                </c:pt>
                <c:pt idx="78">
                  <c:v>51.767412825117489</c:v>
                </c:pt>
                <c:pt idx="79">
                  <c:v>51.427753046317086</c:v>
                </c:pt>
                <c:pt idx="80">
                  <c:v>51.086314960361101</c:v>
                </c:pt>
                <c:pt idx="81">
                  <c:v>50.743140778235791</c:v>
                </c:pt>
                <c:pt idx="82">
                  <c:v>50.398273708396189</c:v>
                </c:pt>
                <c:pt idx="83">
                  <c:v>50.051757854154097</c:v>
                </c:pt>
                <c:pt idx="84">
                  <c:v>49.703638113588518</c:v>
                </c:pt>
                <c:pt idx="85">
                  <c:v>49.353960082497466</c:v>
                </c:pt>
                <c:pt idx="86">
                  <c:v>49.002769960853058</c:v>
                </c:pt>
                <c:pt idx="87">
                  <c:v>48.650114463171349</c:v>
                </c:pt>
                <c:pt idx="88">
                  <c:v>48.296040733154015</c:v>
                </c:pt>
                <c:pt idx="89">
                  <c:v>47.940596262904776</c:v>
                </c:pt>
                <c:pt idx="90">
                  <c:v>47.583828816973785</c:v>
                </c:pt>
                <c:pt idx="91">
                  <c:v>47.225786361429705</c:v>
                </c:pt>
                <c:pt idx="92">
                  <c:v>46.866516998111166</c:v>
                </c:pt>
                <c:pt idx="93">
                  <c:v>46.506068904163989</c:v>
                </c:pt>
                <c:pt idx="94">
                  <c:v>46.144490276924188</c:v>
                </c:pt>
                <c:pt idx="95">
                  <c:v>45.781829284169895</c:v>
                </c:pt>
                <c:pt idx="96">
                  <c:v>45.418134019722018</c:v>
                </c:pt>
                <c:pt idx="97">
                  <c:v>45.053452464344865</c:v>
                </c:pt>
                <c:pt idx="98">
                  <c:v>44.687832451861766</c:v>
                </c:pt>
                <c:pt idx="99">
                  <c:v>44.321321640376055</c:v>
                </c:pt>
                <c:pt idx="100">
                  <c:v>43.953967488460748</c:v>
                </c:pt>
                <c:pt idx="101">
                  <c:v>43.585817236159663</c:v>
                </c:pt>
                <c:pt idx="102">
                  <c:v>43.216917890622746</c:v>
                </c:pt>
                <c:pt idx="103">
                  <c:v>42.847316216184048</c:v>
                </c:pt>
                <c:pt idx="104">
                  <c:v>42.477058728674351</c:v>
                </c:pt>
                <c:pt idx="105">
                  <c:v>42.106191693752564</c:v>
                </c:pt>
                <c:pt idx="106">
                  <c:v>41.734761129027603</c:v>
                </c:pt>
                <c:pt idx="107">
                  <c:v>41.3628128097385</c:v>
                </c:pt>
                <c:pt idx="108">
                  <c:v>40.990392277752122</c:v>
                </c:pt>
                <c:pt idx="109">
                  <c:v>40.617544853635366</c:v>
                </c:pt>
                <c:pt idx="110">
                  <c:v>40.244315651555894</c:v>
                </c:pt>
                <c:pt idx="111">
                  <c:v>39.870749596763972</c:v>
                </c:pt>
                <c:pt idx="112">
                  <c:v>39.496891445404465</c:v>
                </c:pt>
                <c:pt idx="113">
                  <c:v>39.122785806412281</c:v>
                </c:pt>
                <c:pt idx="114">
                  <c:v>38.748477165240999</c:v>
                </c:pt>
                <c:pt idx="115">
                  <c:v>38.374009909176351</c:v>
                </c:pt>
                <c:pt idx="116">
                  <c:v>37.999428353986964</c:v>
                </c:pt>
                <c:pt idx="117">
                  <c:v>37.624776771666077</c:v>
                </c:pt>
                <c:pt idx="118">
                  <c:v>37.250099419017694</c:v>
                </c:pt>
                <c:pt idx="119">
                  <c:v>36.875440566841881</c:v>
                </c:pt>
                <c:pt idx="120">
                  <c:v>36.500844529475671</c:v>
                </c:pt>
                <c:pt idx="121">
                  <c:v>36.126355694442914</c:v>
                </c:pt>
                <c:pt idx="122">
                  <c:v>35.752018551972398</c:v>
                </c:pt>
                <c:pt idx="123">
                  <c:v>35.377877724136646</c:v>
                </c:pt>
                <c:pt idx="124">
                  <c:v>35.003977993369162</c:v>
                </c:pt>
                <c:pt idx="125">
                  <c:v>34.630364330115015</c:v>
                </c:pt>
                <c:pt idx="126">
                  <c:v>34.257081919367877</c:v>
                </c:pt>
                <c:pt idx="127">
                  <c:v>33.884176185850329</c:v>
                </c:pt>
                <c:pt idx="128">
                  <c:v>33.511692817588653</c:v>
                </c:pt>
                <c:pt idx="129">
                  <c:v>33.139677787636188</c:v>
                </c:pt>
                <c:pt idx="130">
                  <c:v>32.76817737369921</c:v>
                </c:pt>
                <c:pt idx="131">
                  <c:v>32.397238175418494</c:v>
                </c:pt>
                <c:pt idx="132">
                  <c:v>32.026907129061485</c:v>
                </c:pt>
                <c:pt idx="133">
                  <c:v>31.657231519382304</c:v>
                </c:pt>
                <c:pt idx="134">
                  <c:v>31.288258988408725</c:v>
                </c:pt>
                <c:pt idx="135">
                  <c:v>30.920037540920788</c:v>
                </c:pt>
                <c:pt idx="136">
                  <c:v>30.552615546389493</c:v>
                </c:pt>
                <c:pt idx="137">
                  <c:v>30.186041737152646</c:v>
                </c:pt>
                <c:pt idx="138">
                  <c:v>29.820365202614454</c:v>
                </c:pt>
                <c:pt idx="139">
                  <c:v>29.455635379263185</c:v>
                </c:pt>
                <c:pt idx="140">
                  <c:v>29.091902036320345</c:v>
                </c:pt>
                <c:pt idx="141">
                  <c:v>28.729215256844487</c:v>
                </c:pt>
                <c:pt idx="142">
                  <c:v>28.367625414137546</c:v>
                </c:pt>
                <c:pt idx="143">
                  <c:v>28.007183143318095</c:v>
                </c:pt>
                <c:pt idx="144">
                  <c:v>27.647939307953614</c:v>
                </c:pt>
                <c:pt idx="145">
                  <c:v>27.289944961670912</c:v>
                </c:pt>
                <c:pt idx="146">
                  <c:v>26.933251304694185</c:v>
                </c:pt>
                <c:pt idx="147">
                  <c:v>26.577909635295175</c:v>
                </c:pt>
                <c:pt idx="148">
                  <c:v>26.223971296176977</c:v>
                </c:pt>
                <c:pt idx="149">
                  <c:v>25.871487615853678</c:v>
                </c:pt>
                <c:pt idx="150">
                  <c:v>25.520509845131048</c:v>
                </c:pt>
                <c:pt idx="151">
                  <c:v>25.171089088840862</c:v>
                </c:pt>
                <c:pt idx="152">
                  <c:v>24.823276233028345</c:v>
                </c:pt>
                <c:pt idx="153">
                  <c:v>24.477121867843845</c:v>
                </c:pt>
                <c:pt idx="154">
                  <c:v>24.132676206442344</c:v>
                </c:pt>
                <c:pt idx="155">
                  <c:v>23.789989000245274</c:v>
                </c:pt>
                <c:pt idx="156">
                  <c:v>23.449109450976742</c:v>
                </c:pt>
                <c:pt idx="157">
                  <c:v>23.110086119932287</c:v>
                </c:pt>
                <c:pt idx="158">
                  <c:v>22.772966834999178</c:v>
                </c:pt>
                <c:pt idx="159">
                  <c:v>22.437798595988475</c:v>
                </c:pt>
                <c:pt idx="160">
                  <c:v>22.104627478891143</c:v>
                </c:pt>
                <c:pt idx="161">
                  <c:v>21.773498539712641</c:v>
                </c:pt>
                <c:pt idx="162">
                  <c:v>21.444455718578599</c:v>
                </c:pt>
                <c:pt idx="163">
                  <c:v>21.117541744835528</c:v>
                </c:pt>
                <c:pt idx="164">
                  <c:v>20.792798043900834</c:v>
                </c:pt>
                <c:pt idx="165">
                  <c:v>20.470264646632529</c:v>
                </c:pt>
                <c:pt idx="166">
                  <c:v>20.149980102000026</c:v>
                </c:pt>
                <c:pt idx="167">
                  <c:v>19.831981393842447</c:v>
                </c:pt>
                <c:pt idx="168">
                  <c:v>19.516303862492919</c:v>
                </c:pt>
                <c:pt idx="169">
                  <c:v>19.202981132029755</c:v>
                </c:pt>
                <c:pt idx="170">
                  <c:v>18.892045043892981</c:v>
                </c:pt>
                <c:pt idx="171">
                  <c:v>18.583525597565515</c:v>
                </c:pt>
                <c:pt idx="172">
                  <c:v>18.277450898976145</c:v>
                </c:pt>
                <c:pt idx="173">
                  <c:v>17.973847117222821</c:v>
                </c:pt>
                <c:pt idx="174">
                  <c:v>17.672738450157357</c:v>
                </c:pt>
                <c:pt idx="175">
                  <c:v>17.374147099293417</c:v>
                </c:pt>
                <c:pt idx="176">
                  <c:v>17.078093254428296</c:v>
                </c:pt>
                <c:pt idx="177">
                  <c:v>16.784595088278383</c:v>
                </c:pt>
                <c:pt idx="178">
                  <c:v>16.493668761341237</c:v>
                </c:pt>
                <c:pt idx="179">
                  <c:v>16.205328437101283</c:v>
                </c:pt>
                <c:pt idx="180">
                  <c:v>15.919586307601563</c:v>
                </c:pt>
                <c:pt idx="181">
                  <c:v>15.636452629304483</c:v>
                </c:pt>
                <c:pt idx="182">
                  <c:v>15.355935769069035</c:v>
                </c:pt>
                <c:pt idx="183">
                  <c:v>15.078042259975767</c:v>
                </c:pt>
                <c:pt idx="184">
                  <c:v>14.802776866638458</c:v>
                </c:pt>
                <c:pt idx="185">
                  <c:v>14.530142659553832</c:v>
                </c:pt>
                <c:pt idx="186">
                  <c:v>14.260141097959174</c:v>
                </c:pt>
                <c:pt idx="187">
                  <c:v>13.992772120589827</c:v>
                </c:pt>
                <c:pt idx="188">
                  <c:v>13.728034243664071</c:v>
                </c:pt>
                <c:pt idx="189">
                  <c:v>13.465924665358033</c:v>
                </c:pt>
                <c:pt idx="190">
                  <c:v>13.206439375988555</c:v>
                </c:pt>
                <c:pt idx="191">
                  <c:v>12.949573273073922</c:v>
                </c:pt>
                <c:pt idx="192">
                  <c:v>12.695320280413153</c:v>
                </c:pt>
                <c:pt idx="193">
                  <c:v>12.44367347030169</c:v>
                </c:pt>
                <c:pt idx="194">
                  <c:v>12.194625187985364</c:v>
                </c:pt>
                <c:pt idx="195">
                  <c:v>11.94816717745104</c:v>
                </c:pt>
                <c:pt idx="196">
                  <c:v>11.70429070765455</c:v>
                </c:pt>
                <c:pt idx="197">
                  <c:v>11.462986698300019</c:v>
                </c:pt>
                <c:pt idx="198">
                  <c:v>11.224245844299567</c:v>
                </c:pt>
                <c:pt idx="199">
                  <c:v>10.988058738071798</c:v>
                </c:pt>
                <c:pt idx="200">
                  <c:v>10.754415988865365</c:v>
                </c:pt>
                <c:pt idx="201">
                  <c:v>10.523308338331478</c:v>
                </c:pt>
                <c:pt idx="202">
                  <c:v>10.294726771608643</c:v>
                </c:pt>
                <c:pt idx="203">
                  <c:v>10.068662623228139</c:v>
                </c:pt>
                <c:pt idx="204">
                  <c:v>9.8451076771937345</c:v>
                </c:pt>
                <c:pt idx="205">
                  <c:v>9.6240542606391202</c:v>
                </c:pt>
                <c:pt idx="206">
                  <c:v>9.4054953305172599</c:v>
                </c:pt>
                <c:pt idx="207">
                  <c:v>9.1894245528259173</c:v>
                </c:pt>
                <c:pt idx="208">
                  <c:v>8.9758363739273026</c:v>
                </c:pt>
                <c:pt idx="209">
                  <c:v>8.7647260835713219</c:v>
                </c:pt>
                <c:pt idx="210">
                  <c:v>8.5560898692840723</c:v>
                </c:pt>
                <c:pt idx="211">
                  <c:v>8.3499248618368966</c:v>
                </c:pt>
                <c:pt idx="212">
                  <c:v>8.1462291715606199</c:v>
                </c:pt>
                <c:pt idx="213">
                  <c:v>7.9450019153239184</c:v>
                </c:pt>
                <c:pt idx="214">
                  <c:v>7.7462432340437823</c:v>
                </c:pt>
                <c:pt idx="215">
                  <c:v>7.5499543006479994</c:v>
                </c:pt>
                <c:pt idx="216">
                  <c:v>7.356137318460628</c:v>
                </c:pt>
                <c:pt idx="217">
                  <c:v>7.1647955100296565</c:v>
                </c:pt>
                <c:pt idx="218">
                  <c:v>6.9759330964712767</c:v>
                </c:pt>
                <c:pt idx="219">
                  <c:v>6.7895552674499493</c:v>
                </c:pt>
                <c:pt idx="220">
                  <c:v>6.6056681419708942</c:v>
                </c:pt>
                <c:pt idx="221">
                  <c:v>6.4242787202079228</c:v>
                </c:pt>
                <c:pt idx="222">
                  <c:v>6.245394826644076</c:v>
                </c:pt>
                <c:pt idx="223">
                  <c:v>6.0690250448548539</c:v>
                </c:pt>
                <c:pt idx="224">
                  <c:v>5.8951786443137344</c:v>
                </c:pt>
                <c:pt idx="225">
                  <c:v>5.7238654996559095</c:v>
                </c:pt>
                <c:pt idx="226">
                  <c:v>5.5550960028848353</c:v>
                </c:pt>
                <c:pt idx="227">
                  <c:v>5.388880969060871</c:v>
                </c:pt>
                <c:pt idx="228">
                  <c:v>5.2252315360597956</c:v>
                </c:pt>
                <c:pt idx="229">
                  <c:v>5.0641590590414554</c:v>
                </c:pt>
                <c:pt idx="230">
                  <c:v>4.9056750003131349</c:v>
                </c:pt>
                <c:pt idx="231">
                  <c:v>4.7497908153195318</c:v>
                </c:pt>
                <c:pt idx="232">
                  <c:v>4.5965178355318006</c:v>
                </c:pt>
                <c:pt idx="233">
                  <c:v>4.445867149047146</c:v>
                </c:pt>
                <c:pt idx="234">
                  <c:v>4.2978494797398898</c:v>
                </c:pt>
                <c:pt idx="235">
                  <c:v>4.1524750658371259</c:v>
                </c:pt>
                <c:pt idx="236">
                  <c:v>4.0097535388086145</c:v>
                </c:pt>
                <c:pt idx="237">
                  <c:v>3.8696938034766108</c:v>
                </c:pt>
                <c:pt idx="238">
                  <c:v>3.7323039202574941</c:v>
                </c:pt>
                <c:pt idx="239">
                  <c:v>3.5975909904432326</c:v>
                </c:pt>
                <c:pt idx="240">
                  <c:v>3.4655610454223118</c:v>
                </c:pt>
                <c:pt idx="241">
                  <c:v>3.3362189407171545</c:v>
                </c:pt>
                <c:pt idx="242">
                  <c:v>3.2095682556873055</c:v>
                </c:pt>
                <c:pt idx="243">
                  <c:v>3.0856111997085067</c:v>
                </c:pt>
                <c:pt idx="244">
                  <c:v>2.9643485255889805</c:v>
                </c:pt>
                <c:pt idx="245">
                  <c:v>2.8457794509290144</c:v>
                </c:pt>
                <c:pt idx="246">
                  <c:v>2.7299015880625079</c:v>
                </c:pt>
                <c:pt idx="247">
                  <c:v>2.6167108831479209</c:v>
                </c:pt>
                <c:pt idx="248">
                  <c:v>2.5062015648943166</c:v>
                </c:pt>
                <c:pt idx="249">
                  <c:v>2.3983661033239252</c:v>
                </c:pt>
                <c:pt idx="250">
                  <c:v>2.2931951788809428</c:v>
                </c:pt>
                <c:pt idx="251">
                  <c:v>2.1906776621009687</c:v>
                </c:pt>
                <c:pt idx="252">
                  <c:v>2.0908006039623812</c:v>
                </c:pt>
                <c:pt idx="253">
                  <c:v>1.9935492369392327</c:v>
                </c:pt>
                <c:pt idx="254">
                  <c:v>1.8989069866823867</c:v>
                </c:pt>
                <c:pt idx="255">
                  <c:v>1.8068554941585189</c:v>
                </c:pt>
                <c:pt idx="256">
                  <c:v>1.7173746479868313</c:v>
                </c:pt>
                <c:pt idx="257">
                  <c:v>1.6304426266257455</c:v>
                </c:pt>
                <c:pt idx="258">
                  <c:v>1.5460359499824876</c:v>
                </c:pt>
                <c:pt idx="259">
                  <c:v>1.4641295399418641</c:v>
                </c:pt>
                <c:pt idx="260">
                  <c:v>1.3846967892492095</c:v>
                </c:pt>
                <c:pt idx="261">
                  <c:v>1.3077096381202939</c:v>
                </c:pt>
                <c:pt idx="262">
                  <c:v>1.2331386579064361</c:v>
                </c:pt>
                <c:pt idx="263">
                  <c:v>1.1609531411027254</c:v>
                </c:pt>
                <c:pt idx="264">
                  <c:v>1.09112119695733</c:v>
                </c:pt>
                <c:pt idx="265">
                  <c:v>1.0236098519248324</c:v>
                </c:pt>
                <c:pt idx="266">
                  <c:v>0.95838515419057013</c:v>
                </c:pt>
                <c:pt idx="267">
                  <c:v>0.89541228149893526</c:v>
                </c:pt>
                <c:pt idx="268">
                  <c:v>0.83465565152226129</c:v>
                </c:pt>
                <c:pt idx="269">
                  <c:v>0.77607903402418033</c:v>
                </c:pt>
                <c:pt idx="270">
                  <c:v>0.71964566409752173</c:v>
                </c:pt>
                <c:pt idx="271">
                  <c:v>0.66531835578509502</c:v>
                </c:pt>
                <c:pt idx="272">
                  <c:v>0.61305961542632259</c:v>
                </c:pt>
                <c:pt idx="273">
                  <c:v>0.56283175411699349</c:v>
                </c:pt>
                <c:pt idx="274">
                  <c:v>0.51459699871241837</c:v>
                </c:pt>
                <c:pt idx="275">
                  <c:v>0.46831760085037788</c:v>
                </c:pt>
                <c:pt idx="276">
                  <c:v>0.42395594352355104</c:v>
                </c:pt>
                <c:pt idx="277">
                  <c:v>0.38147464477883886</c:v>
                </c:pt>
                <c:pt idx="278">
                  <c:v>0.34083665817434999</c:v>
                </c:pt>
                <c:pt idx="279">
                  <c:v>0.30200536967380265</c:v>
                </c:pt>
                <c:pt idx="280">
                  <c:v>0.26494469071180021</c:v>
                </c:pt>
                <c:pt idx="281">
                  <c:v>0.22961914720660867</c:v>
                </c:pt>
                <c:pt idx="282">
                  <c:v>0.19599396434699584</c:v>
                </c:pt>
                <c:pt idx="283">
                  <c:v>0.16403514702274169</c:v>
                </c:pt>
                <c:pt idx="284">
                  <c:v>0.13370955580666688</c:v>
                </c:pt>
                <c:pt idx="285">
                  <c:v>0.10498497843685972</c:v>
                </c:pt>
                <c:pt idx="286">
                  <c:v>7.7830196777039395E-2</c:v>
                </c:pt>
                <c:pt idx="287">
                  <c:v>5.2215049269057415E-2</c:v>
                </c:pt>
                <c:pt idx="288">
                  <c:v>2.8110488911147632E-2</c:v>
                </c:pt>
                <c:pt idx="289">
                  <c:v>5.4886368256642278E-3</c:v>
                </c:pt>
                <c:pt idx="290">
                  <c:v>-1.5677168507694971E-2</c:v>
                </c:pt>
                <c:pt idx="291">
                  <c:v>-3.5412326257004301E-2</c:v>
                </c:pt>
                <c:pt idx="292">
                  <c:v>-5.3740932375180281E-2</c:v>
                </c:pt>
                <c:pt idx="293">
                  <c:v>-7.06857427530906E-2</c:v>
                </c:pt>
                <c:pt idx="294">
                  <c:v>-8.6268140269185001E-2</c:v>
                </c:pt>
                <c:pt idx="295">
                  <c:v>-0.10050810561164476</c:v>
                </c:pt>
                <c:pt idx="296">
                  <c:v>-0.11342419174952667</c:v>
                </c:pt>
                <c:pt idx="297">
                  <c:v>-0.12503350193340065</c:v>
                </c:pt>
                <c:pt idx="298">
                  <c:v>-0.13535167111076327</c:v>
                </c:pt>
                <c:pt idx="299">
                  <c:v>-0.14439285064761465</c:v>
                </c:pt>
                <c:pt idx="300">
                  <c:v>-0.15216969625882368</c:v>
                </c:pt>
                <c:pt idx="301">
                  <c:v>-0.15869335905952339</c:v>
                </c:pt>
                <c:pt idx="302">
                  <c:v>-0.16397347966188591</c:v>
                </c:pt>
                <c:pt idx="303">
                  <c:v>-0.16801818525682</c:v>
                </c:pt>
                <c:pt idx="304">
                  <c:v>-0.17083408963221408</c:v>
                </c:pt>
                <c:pt idx="305">
                  <c:v>-0.17242629609785393</c:v>
                </c:pt>
                <c:pt idx="306">
                  <c:v>-0.17279840329953949</c:v>
                </c:pt>
                <c:pt idx="307">
                  <c:v>-0.171952513924751</c:v>
                </c:pt>
                <c:pt idx="308">
                  <c:v>-0.16988924631591046</c:v>
                </c:pt>
                <c:pt idx="309">
                  <c:v>-0.1666077490250592</c:v>
                </c:pt>
                <c:pt idx="310">
                  <c:v>-0.16210571835959739</c:v>
                </c:pt>
                <c:pt idx="311">
                  <c:v>-0.15637941898509369</c:v>
                </c:pt>
                <c:pt idx="312">
                  <c:v>-0.14942370766357901</c:v>
                </c:pt>
                <c:pt idx="313">
                  <c:v>-0.14123206022447116</c:v>
                </c:pt>
                <c:pt idx="314">
                  <c:v>-0.13179660187287273</c:v>
                </c:pt>
                <c:pt idx="315">
                  <c:v>-0.12110814095529215</c:v>
                </c:pt>
                <c:pt idx="316">
                  <c:v>-0.10915620631126889</c:v>
                </c:pt>
                <c:pt idx="317">
                  <c:v>-9.5929088348796612E-2</c:v>
                </c:pt>
                <c:pt idx="318">
                  <c:v>-8.1413883984507593E-2</c:v>
                </c:pt>
                <c:pt idx="319">
                  <c:v>-6.5596545599145226E-2</c:v>
                </c:pt>
                <c:pt idx="320">
                  <c:v>-4.8461934152669597E-2</c:v>
                </c:pt>
                <c:pt idx="321">
                  <c:v>-2.9993876609351489E-2</c:v>
                </c:pt>
                <c:pt idx="322">
                  <c:v>-1.0175227814095668E-2</c:v>
                </c:pt>
                <c:pt idx="323">
                  <c:v>1.1012063044586481E-2</c:v>
                </c:pt>
                <c:pt idx="324">
                  <c:v>3.3586881260300488E-2</c:v>
                </c:pt>
                <c:pt idx="325">
                  <c:v>5.756887061255235E-2</c:v>
                </c:pt>
                <c:pt idx="326">
                  <c:v>8.2978352456016105E-2</c:v>
                </c:pt>
                <c:pt idx="327">
                  <c:v>0.10983623982621241</c:v>
                </c:pt>
                <c:pt idx="328">
                  <c:v>0.13816394651285185</c:v>
                </c:pt>
                <c:pt idx="329">
                  <c:v>0.16798329108913396</c:v>
                </c:pt>
                <c:pt idx="330">
                  <c:v>0.1993163959088724</c:v>
                </c:pt>
                <c:pt idx="331">
                  <c:v>0.23218558112973653</c:v>
                </c:pt>
                <c:pt idx="332">
                  <c:v>0.26661325385283002</c:v>
                </c:pt>
                <c:pt idx="333">
                  <c:v>0.30262179251782823</c:v>
                </c:pt>
                <c:pt idx="334">
                  <c:v>0.34023342673681017</c:v>
                </c:pt>
                <c:pt idx="335">
                  <c:v>0.37947011279914794</c:v>
                </c:pt>
                <c:pt idx="336">
                  <c:v>0.42035340513197661</c:v>
                </c:pt>
                <c:pt idx="337">
                  <c:v>0.46290432405292464</c:v>
                </c:pt>
                <c:pt idx="338">
                  <c:v>0.50714322020467728</c:v>
                </c:pt>
                <c:pt idx="339">
                  <c:v>0.55308963611678874</c:v>
                </c:pt>
                <c:pt idx="340">
                  <c:v>0.60076216539093363</c:v>
                </c:pt>
                <c:pt idx="341">
                  <c:v>0.65017831006111093</c:v>
                </c:pt>
                <c:pt idx="342">
                  <c:v>0.70135433672670955</c:v>
                </c:pt>
                <c:pt idx="343">
                  <c:v>0.7543051321059292</c:v>
                </c:pt>
                <c:pt idx="344">
                  <c:v>0.80904405869782547</c:v>
                </c:pt>
                <c:pt idx="345">
                  <c:v>0.8655828112809012</c:v>
                </c:pt>
                <c:pt idx="346">
                  <c:v>0.92393127500604855</c:v>
                </c:pt>
                <c:pt idx="347">
                  <c:v>0.98409738586942963</c:v>
                </c:pt>
                <c:pt idx="348">
                  <c:v>1.0460869943677213</c:v>
                </c:pt>
                <c:pt idx="349">
                  <c:v>1.1099037331479691</c:v>
                </c:pt>
                <c:pt idx="350">
                  <c:v>1.1755488894676434</c:v>
                </c:pt>
                <c:pt idx="351">
                  <c:v>1.243021283270743</c:v>
                </c:pt>
                <c:pt idx="352">
                  <c:v>1.3123171516719581</c:v>
                </c:pt>
                <c:pt idx="353">
                  <c:v>1.3834300406130728</c:v>
                </c:pt>
                <c:pt idx="354">
                  <c:v>1.4563507044224908</c:v>
                </c:pt>
                <c:pt idx="355">
                  <c:v>1.5310670139621929</c:v>
                </c:pt>
                <c:pt idx="356">
                  <c:v>1.6075638740001335</c:v>
                </c:pt>
                <c:pt idx="357">
                  <c:v>1.6858231503774208</c:v>
                </c:pt>
                <c:pt idx="358">
                  <c:v>1.7658236074819444</c:v>
                </c:pt>
                <c:pt idx="359">
                  <c:v>1.8475408564592355</c:v>
                </c:pt>
                <c:pt idx="360">
                  <c:v>1.930947314519573</c:v>
                </c:pt>
                <c:pt idx="361">
                  <c:v>2.0160121756132905</c:v>
                </c:pt>
                <c:pt idx="362">
                  <c:v>2.1027013926684393</c:v>
                </c:pt>
                <c:pt idx="363">
                  <c:v>2.1909776714911038</c:v>
                </c:pt>
                <c:pt idx="364">
                  <c:v>2.2808004763540204</c:v>
                </c:pt>
                <c:pt idx="365">
                  <c:v>2.3721260472048287</c:v>
                </c:pt>
                <c:pt idx="366">
                  <c:v>2.4649074283540449</c:v>
                </c:pt>
                <c:pt idx="367">
                  <c:v>2.5590945084171008</c:v>
                </c:pt>
                <c:pt idx="368">
                  <c:v>2.6546340712197973</c:v>
                </c:pt>
                <c:pt idx="369">
                  <c:v>2.7514698573056067</c:v>
                </c:pt>
                <c:pt idx="370">
                  <c:v>2.8495426356250482</c:v>
                </c:pt>
                <c:pt idx="371">
                  <c:v>2.9487902849356251</c:v>
                </c:pt>
                <c:pt idx="372">
                  <c:v>3.049147884393633</c:v>
                </c:pt>
                <c:pt idx="373">
                  <c:v>3.1505478127820878</c:v>
                </c:pt>
                <c:pt idx="374">
                  <c:v>3.2529198557909353</c:v>
                </c:pt>
                <c:pt idx="375">
                  <c:v>3.3561913207404555</c:v>
                </c:pt>
                <c:pt idx="376">
                  <c:v>3.4602871581250416</c:v>
                </c:pt>
                <c:pt idx="377">
                  <c:v>3.5651300893437892</c:v>
                </c:pt>
                <c:pt idx="378">
                  <c:v>3.6706407399827805</c:v>
                </c:pt>
                <c:pt idx="379">
                  <c:v>3.7767377780140876</c:v>
                </c:pt>
                <c:pt idx="380">
                  <c:v>3.8833380562836135</c:v>
                </c:pt>
                <c:pt idx="381">
                  <c:v>3.99035675866602</c:v>
                </c:pt>
                <c:pt idx="382">
                  <c:v>4.0977075492788861</c:v>
                </c:pt>
                <c:pt idx="383">
                  <c:v>4.2053027241599086</c:v>
                </c:pt>
                <c:pt idx="384">
                  <c:v>4.3130533648207816</c:v>
                </c:pt>
                <c:pt idx="385">
                  <c:v>4.4208694931072197</c:v>
                </c:pt>
                <c:pt idx="386">
                  <c:v>4.5286602267996336</c:v>
                </c:pt>
                <c:pt idx="387">
                  <c:v>4.6363339354039015</c:v>
                </c:pt>
                <c:pt idx="388">
                  <c:v>4.7437983955810106</c:v>
                </c:pt>
                <c:pt idx="389">
                  <c:v>4.8509609456695699</c:v>
                </c:pt>
                <c:pt idx="390">
                  <c:v>4.9577286387536477</c:v>
                </c:pt>
                <c:pt idx="391">
                  <c:v>5.0640083937251879</c:v>
                </c:pt>
                <c:pt idx="392">
                  <c:v>5.1697071437780302</c:v>
                </c:pt>
                <c:pt idx="393">
                  <c:v>5.2747319817639813</c:v>
                </c:pt>
                <c:pt idx="394">
                  <c:v>5.3789903018239249</c:v>
                </c:pt>
                <c:pt idx="395">
                  <c:v>5.4823899366923046</c:v>
                </c:pt>
                <c:pt idx="396">
                  <c:v>5.5848392900512209</c:v>
                </c:pt>
                <c:pt idx="397">
                  <c:v>5.6862474632967128</c:v>
                </c:pt>
                <c:pt idx="398">
                  <c:v>5.7865243760545857</c:v>
                </c:pt>
                <c:pt idx="399">
                  <c:v>5.8855808797685247</c:v>
                </c:pt>
                <c:pt idx="400">
                  <c:v>5.9833288636648216</c:v>
                </c:pt>
                <c:pt idx="401">
                  <c:v>6.079681352385685</c:v>
                </c:pt>
                <c:pt idx="402">
                  <c:v>6.1745525945719102</c:v>
                </c:pt>
                <c:pt idx="403">
                  <c:v>6.2678581416746155</c:v>
                </c:pt>
                <c:pt idx="404">
                  <c:v>6.3595149162738007</c:v>
                </c:pt>
                <c:pt idx="405">
                  <c:v>6.449441269194768</c:v>
                </c:pt>
                <c:pt idx="406">
                  <c:v>6.5375570247274979</c:v>
                </c:pt>
                <c:pt idx="407">
                  <c:v>6.6237835132813299</c:v>
                </c:pt>
                <c:pt idx="408">
                  <c:v>6.7080435908430687</c:v>
                </c:pt>
                <c:pt idx="409">
                  <c:v>6.7902616446499362</c:v>
                </c:pt>
                <c:pt idx="410">
                  <c:v>6.8703635845472277</c:v>
                </c:pt>
                <c:pt idx="411">
                  <c:v>6.9482768195613023</c:v>
                </c:pt>
                <c:pt idx="412">
                  <c:v>7.0239302192993414</c:v>
                </c:pt>
                <c:pt idx="413">
                  <c:v>7.0972540598700826</c:v>
                </c:pt>
                <c:pt idx="414">
                  <c:v>7.168179954115999</c:v>
                </c:pt>
                <c:pt idx="415">
                  <c:v>7.2366407660550278</c:v>
                </c:pt>
                <c:pt idx="416">
                  <c:v>7.3025705095412841</c:v>
                </c:pt>
                <c:pt idx="417">
                  <c:v>7.3659042312810996</c:v>
                </c:pt>
                <c:pt idx="418">
                  <c:v>7.4265778784690131</c:v>
                </c:pt>
                <c:pt idx="419">
                  <c:v>7.4845281514497755</c:v>
                </c:pt>
                <c:pt idx="420">
                  <c:v>7.5396923419587853</c:v>
                </c:pt>
                <c:pt idx="421">
                  <c:v>7.5920081576440204</c:v>
                </c:pt>
                <c:pt idx="422">
                  <c:v>7.6414135337352569</c:v>
                </c:pt>
                <c:pt idx="423">
                  <c:v>7.6878464328914475</c:v>
                </c:pt>
                <c:pt idx="424">
                  <c:v>7.7312446344248205</c:v>
                </c:pt>
                <c:pt idx="425">
                  <c:v>7.7715455142847301</c:v>
                </c:pt>
                <c:pt idx="426">
                  <c:v>7.8086858173607396</c:v>
                </c:pt>
                <c:pt idx="427">
                  <c:v>7.8426014238558031</c:v>
                </c:pt>
                <c:pt idx="428">
                  <c:v>7.8732271116764139</c:v>
                </c:pt>
                <c:pt idx="429">
                  <c:v>7.9004963169819922</c:v>
                </c:pt>
                <c:pt idx="430">
                  <c:v>7.9243408952423771</c:v>
                </c:pt>
                <c:pt idx="431">
                  <c:v>7.9446908853614424</c:v>
                </c:pt>
                <c:pt idx="432">
                  <c:v>7.9614742796325437</c:v>
                </c:pt>
                <c:pt idx="433">
                  <c:v>7.9746168025091793</c:v>
                </c:pt>
                <c:pt idx="434">
                  <c:v>7.9840417013798524</c:v>
                </c:pt>
                <c:pt idx="435">
                  <c:v>7.9896695527485218</c:v>
                </c:pt>
                <c:pt idx="436">
                  <c:v>7.9914180874190137</c:v>
                </c:pt>
                <c:pt idx="437">
                  <c:v>7.989202038466904</c:v>
                </c:pt>
                <c:pt idx="438">
                  <c:v>7.9829330159497704</c:v>
                </c:pt>
                <c:pt idx="439">
                  <c:v>7.972519412446565</c:v>
                </c:pt>
                <c:pt idx="440">
                  <c:v>7.9578663436162511</c:v>
                </c:pt>
                <c:pt idx="441">
                  <c:v>7.9388756280276613</c:v>
                </c:pt>
                <c:pt idx="442">
                  <c:v>7.9154458105065082</c:v>
                </c:pt>
                <c:pt idx="443">
                  <c:v>7.8874722331786939</c:v>
                </c:pt>
                <c:pt idx="444">
                  <c:v>7.8548471582337172</c:v>
                </c:pt>
                <c:pt idx="445">
                  <c:v>7.8174599461825691</c:v>
                </c:pt>
                <c:pt idx="446">
                  <c:v>7.7751972930246751</c:v>
                </c:pt>
                <c:pt idx="447">
                  <c:v>7.7279435292604823</c:v>
                </c:pt>
                <c:pt idx="448">
                  <c:v>7.6755809830695441</c:v>
                </c:pt>
                <c:pt idx="449">
                  <c:v>7.6179904092266053</c:v>
                </c:pt>
                <c:pt idx="450">
                  <c:v>7.5550514844267287</c:v>
                </c:pt>
                <c:pt idx="451">
                  <c:v>7.4866433686568623</c:v>
                </c:pt>
                <c:pt idx="452">
                  <c:v>7.4126453310658693</c:v>
                </c:pt>
                <c:pt idx="453">
                  <c:v>7.332937437493281</c:v>
                </c:pt>
                <c:pt idx="454">
                  <c:v>7.2474012954004463</c:v>
                </c:pt>
                <c:pt idx="455">
                  <c:v>7.1559208504741019</c:v>
                </c:pt>
                <c:pt idx="456">
                  <c:v>7.0583832276420804</c:v>
                </c:pt>
                <c:pt idx="457">
                  <c:v>6.9546796077276571</c:v>
                </c:pt>
                <c:pt idx="458">
                  <c:v>6.8447061294964309</c:v>
                </c:pt>
                <c:pt idx="459">
                  <c:v>6.7283648054969358</c:v>
                </c:pt>
                <c:pt idx="460">
                  <c:v>6.6055644389033352</c:v>
                </c:pt>
                <c:pt idx="461">
                  <c:v>6.4762215276064525</c:v>
                </c:pt>
                <c:pt idx="462">
                  <c:v>6.3402611411167715</c:v>
                </c:pt>
                <c:pt idx="463">
                  <c:v>6.1976177554957417</c:v>
                </c:pt>
                <c:pt idx="464">
                  <c:v>6.0482360315597159</c:v>
                </c:pt>
                <c:pt idx="465">
                  <c:v>5.8920715220238895</c:v>
                </c:pt>
                <c:pt idx="466">
                  <c:v>5.7290912941033874</c:v>
                </c:pt>
                <c:pt idx="467">
                  <c:v>5.5592744553371762</c:v>
                </c:pt>
                <c:pt idx="468">
                  <c:v>5.3826125720441729</c:v>
                </c:pt>
                <c:pt idx="469">
                  <c:v>5.1991099718103237</c:v>
                </c:pt>
                <c:pt idx="470">
                  <c:v>5.0087839236734046</c:v>
                </c:pt>
                <c:pt idx="471">
                  <c:v>4.811664692168633</c:v>
                </c:pt>
                <c:pt idx="472">
                  <c:v>4.6077954640093335</c:v>
                </c:pt>
                <c:pt idx="473">
                  <c:v>4.3972321488328268</c:v>
                </c:pt>
                <c:pt idx="474">
                  <c:v>4.180043058042032</c:v>
                </c:pt>
                <c:pt idx="475">
                  <c:v>3.9563084682240941</c:v>
                </c:pt>
                <c:pt idx="476">
                  <c:v>3.7261200778473698</c:v>
                </c:pt>
                <c:pt idx="477">
                  <c:v>3.4895803678679616</c:v>
                </c:pt>
                <c:pt idx="478">
                  <c:v>3.2468018784349555</c:v>
                </c:pt>
                <c:pt idx="479">
                  <c:v>2.997906415067753</c:v>
                </c:pt>
                <c:pt idx="480">
                  <c:v>2.743024198435227</c:v>
                </c:pt>
                <c:pt idx="481">
                  <c:v>2.4822929722214955</c:v>
                </c:pt>
                <c:pt idx="482">
                  <c:v>2.215857083511299</c:v>
                </c:pt>
                <c:pt idx="483">
                  <c:v>1.9438665497266192</c:v>
                </c:pt>
                <c:pt idx="484">
                  <c:v>1.6664761254034077</c:v>
                </c:pt>
                <c:pt idx="485">
                  <c:v>1.3838443811040257</c:v>
                </c:pt>
                <c:pt idx="486">
                  <c:v>1.0961328055423025</c:v>
                </c:pt>
                <c:pt idx="487">
                  <c:v>0.80350494063476385</c:v>
                </c:pt>
                <c:pt idx="488">
                  <c:v>0.5061255577285213</c:v>
                </c:pt>
                <c:pt idx="489">
                  <c:v>0.20415988175619573</c:v>
                </c:pt>
                <c:pt idx="490">
                  <c:v>-0.10222713142111982</c:v>
                </c:pt>
                <c:pt idx="491">
                  <c:v>-0.41287146066756164</c:v>
                </c:pt>
                <c:pt idx="492">
                  <c:v>-0.72761062575229207</c:v>
                </c:pt>
                <c:pt idx="493">
                  <c:v>-1.0462842328363633</c:v>
                </c:pt>
                <c:pt idx="494">
                  <c:v>-1.3687344591491979</c:v>
                </c:pt>
                <c:pt idx="495">
                  <c:v>-1.6948064777119443</c:v>
                </c:pt>
                <c:pt idx="496">
                  <c:v>-2.0243488237810672</c:v>
                </c:pt>
                <c:pt idx="497">
                  <c:v>-2.3572137053638418</c:v>
                </c:pt>
                <c:pt idx="498">
                  <c:v>-2.6932572606886742</c:v>
                </c:pt>
                <c:pt idx="499">
                  <c:v>-3.0323397659140507</c:v>
                </c:pt>
                <c:pt idx="500">
                  <c:v>-3.3743257966448805</c:v>
                </c:pt>
                <c:pt idx="501">
                  <c:v>-3.7190843469908028</c:v>
                </c:pt>
                <c:pt idx="502">
                  <c:v>-4.0664889099855666</c:v>
                </c:pt>
                <c:pt idx="503">
                  <c:v>-4.4164175231811527</c:v>
                </c:pt>
                <c:pt idx="504">
                  <c:v>-4.7687527831632339</c:v>
                </c:pt>
                <c:pt idx="505">
                  <c:v>-5.1233818326130551</c:v>
                </c:pt>
                <c:pt idx="506">
                  <c:v>-5.480196323376707</c:v>
                </c:pt>
                <c:pt idx="507">
                  <c:v>-5.8390923588067913</c:v>
                </c:pt>
                <c:pt idx="508">
                  <c:v>-6.1999704184289408</c:v>
                </c:pt>
                <c:pt idx="509">
                  <c:v>-6.5627352677520578</c:v>
                </c:pt>
                <c:pt idx="510">
                  <c:v>-6.9272958558095059</c:v>
                </c:pt>
                <c:pt idx="511">
                  <c:v>-7.2935652027778008</c:v>
                </c:pt>
                <c:pt idx="512">
                  <c:v>-7.6614602797919265</c:v>
                </c:pt>
                <c:pt idx="513">
                  <c:v>-8.0309018828465728</c:v>
                </c:pt>
                <c:pt idx="514">
                  <c:v>-8.4018145024611073</c:v>
                </c:pt>
                <c:pt idx="515">
                  <c:v>-8.7741261905829724</c:v>
                </c:pt>
                <c:pt idx="516">
                  <c:v>-9.1477684260145935</c:v>
                </c:pt>
                <c:pt idx="517">
                  <c:v>-9.5226759794755118</c:v>
                </c:pt>
                <c:pt idx="518">
                  <c:v>-9.8987867792482831</c:v>
                </c:pt>
                <c:pt idx="519">
                  <c:v>-10.27604177821633</c:v>
                </c:pt>
                <c:pt idx="520">
                  <c:v>-10.654384822964154</c:v>
                </c:pt>
                <c:pt idx="521">
                  <c:v>-11.033762525498361</c:v>
                </c:pt>
                <c:pt idx="522">
                  <c:v>-11.414124138036952</c:v>
                </c:pt>
                <c:pt idx="523">
                  <c:v>-11.795421431227371</c:v>
                </c:pt>
                <c:pt idx="524">
                  <c:v>-12.177608576068691</c:v>
                </c:pt>
                <c:pt idx="525">
                  <c:v>-12.560642029742038</c:v>
                </c:pt>
                <c:pt idx="526">
                  <c:v>-12.94448042549419</c:v>
                </c:pt>
                <c:pt idx="527">
                  <c:v>-13.329084466662412</c:v>
                </c:pt>
                <c:pt idx="528">
                  <c:v>-13.714416824888033</c:v>
                </c:pt>
                <c:pt idx="529">
                  <c:v>-14.100442042523806</c:v>
                </c:pt>
                <c:pt idx="530">
                  <c:v>-14.487126439209216</c:v>
                </c:pt>
                <c:pt idx="531">
                  <c:v>-14.874438022562524</c:v>
                </c:pt>
                <c:pt idx="532">
                  <c:v>-15.262346402914957</c:v>
                </c:pt>
                <c:pt idx="533">
                  <c:v>-15.65082271199522</c:v>
                </c:pt>
                <c:pt idx="534">
                  <c:v>-16.039839525459968</c:v>
                </c:pt>
                <c:pt idx="535">
                  <c:v>-16.429370789152081</c:v>
                </c:pt>
                <c:pt idx="536">
                  <c:v>-16.81939174896354</c:v>
                </c:pt>
                <c:pt idx="537">
                  <c:v>-17.209878884174543</c:v>
                </c:pt>
                <c:pt idx="538">
                  <c:v>-17.600809844132577</c:v>
                </c:pt>
                <c:pt idx="539">
                  <c:v>-17.992163388138259</c:v>
                </c:pt>
                <c:pt idx="540">
                  <c:v>-18.383919328402005</c:v>
                </c:pt>
                <c:pt idx="541">
                  <c:v>-18.776058475936214</c:v>
                </c:pt>
              </c:numCache>
            </c:numRef>
          </c:yVal>
          <c:smooth val="1"/>
          <c:extLst>
            <c:ext xmlns:c16="http://schemas.microsoft.com/office/drawing/2014/chart" uri="{C3380CC4-5D6E-409C-BE32-E72D297353CC}">
              <c16:uniqueId val="{00000000-7AB1-42AA-8DBD-6D7B5452EF93}"/>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76.762681058257442</c:v>
                </c:pt>
                <c:pt idx="1">
                  <c:v>76.468673158326055</c:v>
                </c:pt>
                <c:pt idx="2">
                  <c:v>76.168786991928812</c:v>
                </c:pt>
                <c:pt idx="3">
                  <c:v>75.862948734216545</c:v>
                </c:pt>
                <c:pt idx="4">
                  <c:v>75.551086652281825</c:v>
                </c:pt>
                <c:pt idx="5">
                  <c:v>75.233131351365358</c:v>
                </c:pt>
                <c:pt idx="6">
                  <c:v>74.909016033375551</c:v>
                </c:pt>
                <c:pt idx="7">
                  <c:v>74.578676767801184</c:v>
                </c:pt>
                <c:pt idx="8">
                  <c:v>74.242052775034196</c:v>
                </c:pt>
                <c:pt idx="9">
                  <c:v>73.899086722049276</c:v>
                </c:pt>
                <c:pt idx="10">
                  <c:v>73.549725030311379</c:v>
                </c:pt>
                <c:pt idx="11">
                  <c:v>73.193918195695701</c:v>
                </c:pt>
                <c:pt idx="12">
                  <c:v>72.83162112010946</c:v>
                </c:pt>
                <c:pt idx="13">
                  <c:v>72.462793454404888</c:v>
                </c:pt>
                <c:pt idx="14">
                  <c:v>72.087399952060679</c:v>
                </c:pt>
                <c:pt idx="15">
                  <c:v>71.705410832986274</c:v>
                </c:pt>
                <c:pt idx="16">
                  <c:v>71.316802156680666</c:v>
                </c:pt>
                <c:pt idx="17">
                  <c:v>70.921556203836843</c:v>
                </c:pt>
                <c:pt idx="18">
                  <c:v>70.519661865340794</c:v>
                </c:pt>
                <c:pt idx="19">
                  <c:v>70.111115037462852</c:v>
                </c:pt>
                <c:pt idx="20">
                  <c:v>69.695919021882361</c:v>
                </c:pt>
                <c:pt idx="21">
                  <c:v>69.274084929025264</c:v>
                </c:pt>
                <c:pt idx="22">
                  <c:v>68.845632083028335</c:v>
                </c:pt>
                <c:pt idx="23">
                  <c:v>68.410588426474646</c:v>
                </c:pt>
                <c:pt idx="24">
                  <c:v>67.968990922881886</c:v>
                </c:pt>
                <c:pt idx="25">
                  <c:v>67.520885954748209</c:v>
                </c:pt>
                <c:pt idx="26">
                  <c:v>67.066329714813392</c:v>
                </c:pt>
                <c:pt idx="27">
                  <c:v>66.605388588020233</c:v>
                </c:pt>
                <c:pt idx="28">
                  <c:v>66.13813952152617</c:v>
                </c:pt>
                <c:pt idx="29">
                  <c:v>65.664670379974254</c:v>
                </c:pt>
                <c:pt idx="30">
                  <c:v>65.185080283114928</c:v>
                </c:pt>
                <c:pt idx="31">
                  <c:v>64.699479922766486</c:v>
                </c:pt>
                <c:pt idx="32">
                  <c:v>64.207991856026666</c:v>
                </c:pt>
                <c:pt idx="33">
                  <c:v>63.710750771583768</c:v>
                </c:pt>
                <c:pt idx="34">
                  <c:v>63.207903725962701</c:v>
                </c:pt>
                <c:pt idx="35">
                  <c:v>62.699610346532211</c:v>
                </c:pt>
                <c:pt idx="36">
                  <c:v>62.186042998147556</c:v>
                </c:pt>
                <c:pt idx="37">
                  <c:v>61.667386910377978</c:v>
                </c:pt>
                <c:pt idx="38">
                  <c:v>61.143840262381147</c:v>
                </c:pt>
                <c:pt idx="39">
                  <c:v>60.615614222645704</c:v>
                </c:pt>
                <c:pt idx="40">
                  <c:v>60.082932941025653</c:v>
                </c:pt>
                <c:pt idx="41">
                  <c:v>59.546033490728249</c:v>
                </c:pt>
                <c:pt idx="42">
                  <c:v>59.005165758206815</c:v>
                </c:pt>
                <c:pt idx="43">
                  <c:v>58.460592279239577</c:v>
                </c:pt>
                <c:pt idx="44">
                  <c:v>57.912588019843575</c:v>
                </c:pt>
                <c:pt idx="45">
                  <c:v>57.361440101077022</c:v>
                </c:pt>
                <c:pt idx="46">
                  <c:v>56.807447467236834</c:v>
                </c:pt>
                <c:pt idx="47">
                  <c:v>56.250920497414128</c:v>
                </c:pt>
                <c:pt idx="48">
                  <c:v>55.692180560885014</c:v>
                </c:pt>
                <c:pt idx="49">
                  <c:v>55.131559517317413</c:v>
                </c:pt>
                <c:pt idx="50">
                  <c:v>54.569399163308411</c:v>
                </c:pt>
                <c:pt idx="51">
                  <c:v>54.006050627299608</c:v>
                </c:pt>
                <c:pt idx="52">
                  <c:v>53.441873715447109</c:v>
                </c:pt>
                <c:pt idx="53">
                  <c:v>52.877236211536285</c:v>
                </c:pt>
                <c:pt idx="54">
                  <c:v>52.31251313453599</c:v>
                </c:pt>
                <c:pt idx="55">
                  <c:v>51.748085957851153</c:v>
                </c:pt>
                <c:pt idx="56">
                  <c:v>51.184341794764947</c:v>
                </c:pt>
                <c:pt idx="57">
                  <c:v>50.621672554953335</c:v>
                </c:pt>
                <c:pt idx="58">
                  <c:v>50.060474077287658</c:v>
                </c:pt>
                <c:pt idx="59">
                  <c:v>49.501145244422339</c:v>
                </c:pt>
                <c:pt idx="60">
                  <c:v>48.944087084878625</c:v>
                </c:pt>
                <c:pt idx="61">
                  <c:v>48.389701868486746</c:v>
                </c:pt>
                <c:pt idx="62">
                  <c:v>47.838392201128507</c:v>
                </c:pt>
                <c:pt idx="63">
                  <c:v>47.290560124717892</c:v>
                </c:pt>
                <c:pt idx="64">
                  <c:v>46.746606228318036</c:v>
                </c:pt>
                <c:pt idx="65">
                  <c:v>46.20692877613088</c:v>
                </c:pt>
                <c:pt idx="66">
                  <c:v>45.671922857908207</c:v>
                </c:pt>
                <c:pt idx="67">
                  <c:v>45.141979567062222</c:v>
                </c:pt>
                <c:pt idx="68">
                  <c:v>44.617485211431124</c:v>
                </c:pt>
                <c:pt idx="69">
                  <c:v>44.098820561264134</c:v>
                </c:pt>
                <c:pt idx="70">
                  <c:v>43.586360138579948</c:v>
                </c:pt>
                <c:pt idx="71">
                  <c:v>43.080471551575265</c:v>
                </c:pt>
                <c:pt idx="72">
                  <c:v>42.581514877270415</c:v>
                </c:pt>
                <c:pt idx="73">
                  <c:v>42.089842095059801</c:v>
                </c:pt>
                <c:pt idx="74">
                  <c:v>41.605796573302477</c:v>
                </c:pt>
                <c:pt idx="75">
                  <c:v>41.12971261054814</c:v>
                </c:pt>
                <c:pt idx="76">
                  <c:v>40.661915032463384</c:v>
                </c:pt>
                <c:pt idx="77">
                  <c:v>40.202718844987629</c:v>
                </c:pt>
                <c:pt idx="78">
                  <c:v>39.752428943754488</c:v>
                </c:pt>
                <c:pt idx="79">
                  <c:v>39.311339879308761</c:v>
                </c:pt>
                <c:pt idx="80">
                  <c:v>38.879735677209105</c:v>
                </c:pt>
                <c:pt idx="81">
                  <c:v>38.457889711672017</c:v>
                </c:pt>
                <c:pt idx="82">
                  <c:v>38.046064631032856</c:v>
                </c:pt>
                <c:pt idx="83">
                  <c:v>37.644512332942909</c:v>
                </c:pt>
                <c:pt idx="84">
                  <c:v>37.253473986926721</c:v>
                </c:pt>
                <c:pt idx="85">
                  <c:v>36.87318010165616</c:v>
                </c:pt>
                <c:pt idx="86">
                  <c:v>36.503850634072883</c:v>
                </c:pt>
                <c:pt idx="87">
                  <c:v>36.145695137328225</c:v>
                </c:pt>
                <c:pt idx="88">
                  <c:v>35.798912944353184</c:v>
                </c:pt>
                <c:pt idx="89">
                  <c:v>35.463693383798066</c:v>
                </c:pt>
                <c:pt idx="90">
                  <c:v>35.140216025004584</c:v>
                </c:pt>
                <c:pt idx="91">
                  <c:v>34.828650948658606</c:v>
                </c:pt>
                <c:pt idx="92">
                  <c:v>34.529159039779529</c:v>
                </c:pt>
                <c:pt idx="93">
                  <c:v>34.241892299733607</c:v>
                </c:pt>
                <c:pt idx="94">
                  <c:v>33.966994174032585</c:v>
                </c:pt>
                <c:pt idx="95">
                  <c:v>33.704599892751673</c:v>
                </c:pt>
                <c:pt idx="96">
                  <c:v>33.454836820511503</c:v>
                </c:pt>
                <c:pt idx="97">
                  <c:v>33.217824813090701</c:v>
                </c:pt>
                <c:pt idx="98">
                  <c:v>32.993676577860334</c:v>
                </c:pt>
                <c:pt idx="99">
                  <c:v>32.782498035383689</c:v>
                </c:pt>
                <c:pt idx="100">
                  <c:v>32.584388679666212</c:v>
                </c:pt>
                <c:pt idx="101">
                  <c:v>32.399441934695794</c:v>
                </c:pt>
                <c:pt idx="102">
                  <c:v>32.227745505077792</c:v>
                </c:pt>
                <c:pt idx="103">
                  <c:v>32.069381718711959</c:v>
                </c:pt>
                <c:pt idx="104">
                  <c:v>31.92442785963031</c:v>
                </c:pt>
                <c:pt idx="105">
                  <c:v>31.792956489249502</c:v>
                </c:pt>
                <c:pt idx="106">
                  <c:v>31.675035754457571</c:v>
                </c:pt>
                <c:pt idx="107">
                  <c:v>31.570729681084721</c:v>
                </c:pt>
                <c:pt idx="108">
                  <c:v>31.480098451453099</c:v>
                </c:pt>
                <c:pt idx="109">
                  <c:v>31.403198664829812</c:v>
                </c:pt>
                <c:pt idx="110">
                  <c:v>31.340083579732411</c:v>
                </c:pt>
                <c:pt idx="111">
                  <c:v>31.290803337152028</c:v>
                </c:pt>
                <c:pt idx="112">
                  <c:v>31.255405163878049</c:v>
                </c:pt>
                <c:pt idx="113">
                  <c:v>31.233933555202309</c:v>
                </c:pt>
                <c:pt idx="114">
                  <c:v>31.226430436391482</c:v>
                </c:pt>
                <c:pt idx="115">
                  <c:v>31.232935302398907</c:v>
                </c:pt>
                <c:pt idx="116">
                  <c:v>31.25348533538358</c:v>
                </c:pt>
                <c:pt idx="117">
                  <c:v>31.288115499681808</c:v>
                </c:pt>
                <c:pt idx="118">
                  <c:v>31.33685861395919</c:v>
                </c:pt>
                <c:pt idx="119">
                  <c:v>31.399745400347872</c:v>
                </c:pt>
                <c:pt idx="120">
                  <c:v>31.476804510444641</c:v>
                </c:pt>
                <c:pt idx="121">
                  <c:v>31.568062528124301</c:v>
                </c:pt>
                <c:pt idx="122">
                  <c:v>31.673543949188286</c:v>
                </c:pt>
                <c:pt idx="123">
                  <c:v>31.793271137945435</c:v>
                </c:pt>
                <c:pt idx="124">
                  <c:v>31.927264260897466</c:v>
                </c:pt>
                <c:pt idx="125">
                  <c:v>32.075541197769958</c:v>
                </c:pt>
                <c:pt idx="126">
                  <c:v>32.238117430216029</c:v>
                </c:pt>
                <c:pt idx="127">
                  <c:v>32.415005908598985</c:v>
                </c:pt>
                <c:pt idx="128">
                  <c:v>32.606216897344112</c:v>
                </c:pt>
                <c:pt idx="129">
                  <c:v>32.811757799448316</c:v>
                </c:pt>
                <c:pt idx="130">
                  <c:v>33.03163296082392</c:v>
                </c:pt>
                <c:pt idx="131">
                  <c:v>33.26584345526436</c:v>
                </c:pt>
                <c:pt idx="132">
                  <c:v>33.514386850922634</c:v>
                </c:pt>
                <c:pt idx="133">
                  <c:v>33.777256959313732</c:v>
                </c:pt>
                <c:pt idx="134">
                  <c:v>34.054443567968455</c:v>
                </c:pt>
                <c:pt idx="135">
                  <c:v>34.345932158003535</c:v>
                </c:pt>
                <c:pt idx="136">
                  <c:v>34.651703607998492</c:v>
                </c:pt>
                <c:pt idx="137">
                  <c:v>34.971733885715821</c:v>
                </c:pt>
                <c:pt idx="138">
                  <c:v>35.305993729344983</c:v>
                </c:pt>
                <c:pt idx="139">
                  <c:v>35.65444832010354</c:v>
                </c:pt>
                <c:pt idx="140">
                  <c:v>36.017056948169092</c:v>
                </c:pt>
                <c:pt idx="141">
                  <c:v>36.393772674090641</c:v>
                </c:pt>
                <c:pt idx="142">
                  <c:v>36.784541987956217</c:v>
                </c:pt>
                <c:pt idx="143">
                  <c:v>37.189304468767951</c:v>
                </c:pt>
                <c:pt idx="144">
                  <c:v>37.60799244660334</c:v>
                </c:pt>
                <c:pt idx="145">
                  <c:v>38.040530670296505</c:v>
                </c:pt>
                <c:pt idx="146">
                  <c:v>38.486835983492853</c:v>
                </c:pt>
                <c:pt idx="147">
                  <c:v>38.946817012050694</c:v>
                </c:pt>
                <c:pt idx="148">
                  <c:v>39.420373865872975</c:v>
                </c:pt>
                <c:pt idx="149">
                  <c:v>39.907397858319683</c:v>
                </c:pt>
                <c:pt idx="150">
                  <c:v>40.407771246431942</c:v>
                </c:pt>
                <c:pt idx="151">
                  <c:v>40.921366995216758</c:v>
                </c:pt>
                <c:pt idx="152">
                  <c:v>41.44804856926271</c:v>
                </c:pt>
                <c:pt idx="153">
                  <c:v>41.987669754920901</c:v>
                </c:pt>
                <c:pt idx="154">
                  <c:v>42.54007451623545</c:v>
                </c:pt>
                <c:pt idx="155">
                  <c:v>43.105096887704775</c:v>
                </c:pt>
                <c:pt idx="156">
                  <c:v>43.682560906819418</c:v>
                </c:pt>
                <c:pt idx="157">
                  <c:v>44.272280589147137</c:v>
                </c:pt>
                <c:pt idx="158">
                  <c:v>44.874059948510649</c:v>
                </c:pt>
                <c:pt idx="159">
                  <c:v>45.487693064540935</c:v>
                </c:pt>
                <c:pt idx="160">
                  <c:v>46.112964199586678</c:v>
                </c:pt>
                <c:pt idx="161">
                  <c:v>46.749647966595475</c:v>
                </c:pt>
                <c:pt idx="162">
                  <c:v>47.397509549213702</c:v>
                </c:pt>
                <c:pt idx="163">
                  <c:v>48.056304974904208</c:v>
                </c:pt>
                <c:pt idx="164">
                  <c:v>48.725781441427344</c:v>
                </c:pt>
                <c:pt idx="165">
                  <c:v>49.40567769654303</c:v>
                </c:pt>
                <c:pt idx="166">
                  <c:v>50.095724470260926</c:v>
                </c:pt>
                <c:pt idx="167">
                  <c:v>50.795644958449181</c:v>
                </c:pt>
                <c:pt idx="168">
                  <c:v>51.505155356050288</c:v>
                </c:pt>
                <c:pt idx="169">
                  <c:v>52.223965437613636</c:v>
                </c:pt>
                <c:pt idx="170">
                  <c:v>52.951779182303319</c:v>
                </c:pt>
                <c:pt idx="171">
                  <c:v>53.688295440010826</c:v>
                </c:pt>
                <c:pt idx="172">
                  <c:v>54.433208634689166</c:v>
                </c:pt>
                <c:pt idx="173">
                  <c:v>55.186209500545026</c:v>
                </c:pt>
                <c:pt idx="174">
                  <c:v>55.946985846274998</c:v>
                </c:pt>
                <c:pt idx="175">
                  <c:v>56.715223342147446</c:v>
                </c:pt>
                <c:pt idx="176">
                  <c:v>57.490606324368379</c:v>
                </c:pt>
                <c:pt idx="177">
                  <c:v>58.272818610897978</c:v>
                </c:pt>
                <c:pt idx="178">
                  <c:v>59.061544322651372</c:v>
                </c:pt>
                <c:pt idx="179">
                  <c:v>59.856468703866589</c:v>
                </c:pt>
                <c:pt idx="180">
                  <c:v>60.657278935342688</c:v>
                </c:pt>
                <c:pt idx="181">
                  <c:v>61.46366493423016</c:v>
                </c:pt>
                <c:pt idx="182">
                  <c:v>62.275320134133992</c:v>
                </c:pt>
                <c:pt idx="183">
                  <c:v>63.091942239402222</c:v>
                </c:pt>
                <c:pt idx="184">
                  <c:v>63.913233947702196</c:v>
                </c:pt>
                <c:pt idx="185">
                  <c:v>64.738903635234806</c:v>
                </c:pt>
                <c:pt idx="186">
                  <c:v>65.568665999276689</c:v>
                </c:pt>
                <c:pt idx="187">
                  <c:v>66.402242653127033</c:v>
                </c:pt>
                <c:pt idx="188">
                  <c:v>67.239362668965498</c:v>
                </c:pt>
                <c:pt idx="189">
                  <c:v>68.079763064605672</c:v>
                </c:pt>
                <c:pt idx="190">
                  <c:v>68.923189230641242</c:v>
                </c:pt>
                <c:pt idx="191">
                  <c:v>69.769395295001644</c:v>
                </c:pt>
                <c:pt idx="192">
                  <c:v>70.618144422510767</c:v>
                </c:pt>
                <c:pt idx="193">
                  <c:v>71.469209047578062</c:v>
                </c:pt>
                <c:pt idx="194">
                  <c:v>72.322371038738069</c:v>
                </c:pt>
                <c:pt idx="195">
                  <c:v>73.177421794292428</c:v>
                </c:pt>
                <c:pt idx="196">
                  <c:v>74.034162268875633</c:v>
                </c:pt>
                <c:pt idx="197">
                  <c:v>74.892402931282646</c:v>
                </c:pt>
                <c:pt idx="198">
                  <c:v>75.751963654406737</c:v>
                </c:pt>
                <c:pt idx="199">
                  <c:v>76.612673538624392</c:v>
                </c:pt>
                <c:pt idx="200">
                  <c:v>77.474370670406813</c:v>
                </c:pt>
                <c:pt idx="201">
                  <c:v>78.336901818362904</c:v>
                </c:pt>
                <c:pt idx="202">
                  <c:v>79.200122069300633</c:v>
                </c:pt>
                <c:pt idx="203">
                  <c:v>80.063894407250231</c:v>
                </c:pt>
                <c:pt idx="204">
                  <c:v>80.928089238702583</c:v>
                </c:pt>
                <c:pt idx="205">
                  <c:v>81.792583867602431</c:v>
                </c:pt>
                <c:pt idx="206">
                  <c:v>82.657261923883596</c:v>
                </c:pt>
                <c:pt idx="207">
                  <c:v>83.522012749554307</c:v>
                </c:pt>
                <c:pt idx="208">
                  <c:v>84.386730746518538</c:v>
                </c:pt>
                <c:pt idx="209">
                  <c:v>85.251314690494709</c:v>
                </c:pt>
                <c:pt idx="210">
                  <c:v>86.115667015510553</c:v>
                </c:pt>
                <c:pt idx="211">
                  <c:v>86.979693073574552</c:v>
                </c:pt>
                <c:pt idx="212">
                  <c:v>87.843300374209775</c:v>
                </c:pt>
                <c:pt idx="213">
                  <c:v>88.7063978086031</c:v>
                </c:pt>
                <c:pt idx="214">
                  <c:v>89.568894863176496</c:v>
                </c:pt>
                <c:pt idx="215">
                  <c:v>90.430700827420651</c:v>
                </c:pt>
                <c:pt idx="216">
                  <c:v>91.291724000846386</c:v>
                </c:pt>
                <c:pt idx="217">
                  <c:v>92.151870903916134</c:v>
                </c:pt>
                <c:pt idx="218">
                  <c:v>93.011045497802257</c:v>
                </c:pt>
                <c:pt idx="219">
                  <c:v>93.86914841778794</c:v>
                </c:pt>
                <c:pt idx="220">
                  <c:v>94.726076225087184</c:v>
                </c:pt>
                <c:pt idx="221">
                  <c:v>95.581720681790159</c:v>
                </c:pt>
                <c:pt idx="222">
                  <c:v>96.435968053562959</c:v>
                </c:pt>
                <c:pt idx="223">
                  <c:v>97.288698444625894</c:v>
                </c:pt>
                <c:pt idx="224">
                  <c:v>98.139785169403865</c:v>
                </c:pt>
                <c:pt idx="225">
                  <c:v>98.989094165101847</c:v>
                </c:pt>
                <c:pt idx="226">
                  <c:v>99.836483449266225</c:v>
                </c:pt>
                <c:pt idx="227">
                  <c:v>100.68180262619421</c:v>
                </c:pt>
                <c:pt idx="228">
                  <c:v>101.52489244581179</c:v>
                </c:pt>
                <c:pt idx="229">
                  <c:v>102.36558441837334</c:v>
                </c:pt>
                <c:pt idx="230">
                  <c:v>103.20370048801504</c:v>
                </c:pt>
                <c:pt idx="231">
                  <c:v>104.03905276787954</c:v>
                </c:pt>
                <c:pt idx="232">
                  <c:v>104.87144333912944</c:v>
                </c:pt>
                <c:pt idx="233">
                  <c:v>105.7006641157743</c:v>
                </c:pt>
                <c:pt idx="234">
                  <c:v>106.52649677678764</c:v>
                </c:pt>
                <c:pt idx="235">
                  <c:v>107.34871276651835</c:v>
                </c:pt>
                <c:pt idx="236">
                  <c:v>108.1670733639033</c:v>
                </c:pt>
                <c:pt idx="237">
                  <c:v>108.98132982046319</c:v>
                </c:pt>
                <c:pt idx="238">
                  <c:v>109.79122356652141</c:v>
                </c:pt>
                <c:pt idx="239">
                  <c:v>110.59648648452813</c:v>
                </c:pt>
                <c:pt idx="240">
                  <c:v>111.3968412478151</c:v>
                </c:pt>
                <c:pt idx="241">
                  <c:v>112.19200172253713</c:v>
                </c:pt>
                <c:pt idx="242">
                  <c:v>112.9816734300048</c:v>
                </c:pt>
                <c:pt idx="243">
                  <c:v>113.76555406607197</c:v>
                </c:pt>
                <c:pt idx="244">
                  <c:v>114.54333407372431</c:v>
                </c:pt>
                <c:pt idx="245">
                  <c:v>115.31469726452976</c:v>
                </c:pt>
                <c:pt idx="246">
                  <c:v>116.07932148416718</c:v>
                </c:pt>
                <c:pt idx="247">
                  <c:v>116.83687931684176</c:v>
                </c:pt>
                <c:pt idx="248">
                  <c:v>117.58703882306131</c:v>
                </c:pt>
                <c:pt idx="249">
                  <c:v>118.32946430494478</c:v>
                </c:pt>
                <c:pt idx="250">
                  <c:v>119.06381709302718</c:v>
                </c:pt>
                <c:pt idx="251">
                  <c:v>119.78975634835449</c:v>
                </c:pt>
                <c:pt idx="252">
                  <c:v>120.50693987359351</c:v>
                </c:pt>
                <c:pt idx="253">
                  <c:v>121.21502492685723</c:v>
                </c:pt>
                <c:pt idx="254">
                  <c:v>121.91366903202434</c:v>
                </c:pt>
                <c:pt idx="255">
                  <c:v>122.60253077944947</c:v>
                </c:pt>
                <c:pt idx="256">
                  <c:v>123.28127061117716</c:v>
                </c:pt>
                <c:pt idx="257">
                  <c:v>123.94955158503657</c:v>
                </c:pt>
                <c:pt idx="258">
                  <c:v>124.60704011232657</c:v>
                </c:pt>
                <c:pt idx="259">
                  <c:v>125.25340666418009</c:v>
                </c:pt>
                <c:pt idx="260">
                  <c:v>125.88832644213851</c:v>
                </c:pt>
                <c:pt idx="261">
                  <c:v>126.51148000893208</c:v>
                </c:pt>
                <c:pt idx="262">
                  <c:v>127.12255387596893</c:v>
                </c:pt>
                <c:pt idx="263">
                  <c:v>127.72124104457177</c:v>
                </c:pt>
                <c:pt idx="264">
                  <c:v>128.30724149853063</c:v>
                </c:pt>
                <c:pt idx="265">
                  <c:v>128.88026264610997</c:v>
                </c:pt>
                <c:pt idx="266">
                  <c:v>129.44001971018236</c:v>
                </c:pt>
                <c:pt idx="267">
                  <c:v>129.98623606571533</c:v>
                </c:pt>
                <c:pt idx="268">
                  <c:v>130.5186435243522</c:v>
                </c:pt>
                <c:pt idx="269">
                  <c:v>131.03698256633984</c:v>
                </c:pt>
                <c:pt idx="270">
                  <c:v>131.5410025205255</c:v>
                </c:pt>
                <c:pt idx="271">
                  <c:v>132.03046169359047</c:v>
                </c:pt>
                <c:pt idx="272">
                  <c:v>132.50512745008984</c:v>
                </c:pt>
                <c:pt idx="273">
                  <c:v>132.96477624523763</c:v>
                </c:pt>
                <c:pt idx="274">
                  <c:v>133.4091936126934</c:v>
                </c:pt>
                <c:pt idx="275">
                  <c:v>133.83817410989741</c:v>
                </c:pt>
                <c:pt idx="276">
                  <c:v>134.25152122372799</c:v>
                </c:pt>
                <c:pt idx="277">
                  <c:v>134.64904723945256</c:v>
                </c:pt>
                <c:pt idx="278">
                  <c:v>135.03057307610155</c:v>
                </c:pt>
                <c:pt idx="279">
                  <c:v>135.39592809149335</c:v>
                </c:pt>
                <c:pt idx="280">
                  <c:v>135.74494986022566</c:v>
                </c:pt>
                <c:pt idx="281">
                  <c:v>136.07748392797328</c:v>
                </c:pt>
                <c:pt idx="282">
                  <c:v>136.39338354544765</c:v>
                </c:pt>
                <c:pt idx="283">
                  <c:v>136.69250938533654</c:v>
                </c:pt>
                <c:pt idx="284">
                  <c:v>136.97472924550192</c:v>
                </c:pt>
                <c:pt idx="285">
                  <c:v>137.23991774162664</c:v>
                </c:pt>
                <c:pt idx="286">
                  <c:v>137.48795599241288</c:v>
                </c:pt>
                <c:pt idx="287">
                  <c:v>137.71873130031645</c:v>
                </c:pt>
                <c:pt idx="288">
                  <c:v>137.93213683067509</c:v>
                </c:pt>
                <c:pt idx="289">
                  <c:v>138.12807129195383</c:v>
                </c:pt>
                <c:pt idx="290">
                  <c:v>138.30643861967303</c:v>
                </c:pt>
                <c:pt idx="291">
                  <c:v>138.46714766644314</c:v>
                </c:pt>
                <c:pt idx="292">
                  <c:v>138.61011190036422</c:v>
                </c:pt>
                <c:pt idx="293">
                  <c:v>138.73524911388989</c:v>
                </c:pt>
                <c:pt idx="294">
                  <c:v>138.84248114509862</c:v>
                </c:pt>
                <c:pt idx="295">
                  <c:v>138.93173361314925</c:v>
                </c:pt>
                <c:pt idx="296">
                  <c:v>139.00293566954696</c:v>
                </c:pt>
                <c:pt idx="297">
                  <c:v>139.05601976668581</c:v>
                </c:pt>
                <c:pt idx="298">
                  <c:v>139.09092144498595</c:v>
                </c:pt>
                <c:pt idx="299">
                  <c:v>139.10757913979472</c:v>
                </c:pt>
                <c:pt idx="300">
                  <c:v>139.10593400907777</c:v>
                </c:pt>
                <c:pt idx="301">
                  <c:v>139.08592978278591</c:v>
                </c:pt>
                <c:pt idx="302">
                  <c:v>139.04751263465107</c:v>
                </c:pt>
                <c:pt idx="303">
                  <c:v>138.9906310770302</c:v>
                </c:pt>
                <c:pt idx="304">
                  <c:v>138.91523587928629</c:v>
                </c:pt>
                <c:pt idx="305">
                  <c:v>138.82128001007598</c:v>
                </c:pt>
                <c:pt idx="306">
                  <c:v>138.70871860377713</c:v>
                </c:pt>
                <c:pt idx="307">
                  <c:v>138.57750895118539</c:v>
                </c:pt>
                <c:pt idx="308">
                  <c:v>138.42761051446368</c:v>
                </c:pt>
                <c:pt idx="309">
                  <c:v>138.25898496623259</c:v>
                </c:pt>
                <c:pt idx="310">
                  <c:v>138.07159625254067</c:v>
                </c:pt>
                <c:pt idx="311">
                  <c:v>137.86541067935138</c:v>
                </c:pt>
                <c:pt idx="312">
                  <c:v>137.64039702204519</c:v>
                </c:pt>
                <c:pt idx="313">
                  <c:v>137.39652665730503</c:v>
                </c:pt>
                <c:pt idx="314">
                  <c:v>137.13377371663327</c:v>
                </c:pt>
                <c:pt idx="315">
                  <c:v>136.85211526059607</c:v>
                </c:pt>
                <c:pt idx="316">
                  <c:v>136.55153147276786</c:v>
                </c:pt>
                <c:pt idx="317">
                  <c:v>136.23200587219173</c:v>
                </c:pt>
                <c:pt idx="318">
                  <c:v>135.89352554303295</c:v>
                </c:pt>
                <c:pt idx="319">
                  <c:v>135.53608137995201</c:v>
                </c:pt>
                <c:pt idx="320">
                  <c:v>135.15966834756435</c:v>
                </c:pt>
                <c:pt idx="321">
                  <c:v>134.7642857522053</c:v>
                </c:pt>
                <c:pt idx="322">
                  <c:v>134.34993752405839</c:v>
                </c:pt>
                <c:pt idx="323">
                  <c:v>133.91663250754837</c:v>
                </c:pt>
                <c:pt idx="324">
                  <c:v>133.46438475774639</c:v>
                </c:pt>
                <c:pt idx="325">
                  <c:v>132.99321384038271</c:v>
                </c:pt>
                <c:pt idx="326">
                  <c:v>132.50314513291534</c:v>
                </c:pt>
                <c:pt idx="327">
                  <c:v>131.99421012396388</c:v>
                </c:pt>
                <c:pt idx="328">
                  <c:v>131.46644670828852</c:v>
                </c:pt>
                <c:pt idx="329">
                  <c:v>130.91989947437929</c:v>
                </c:pt>
                <c:pt idx="330">
                  <c:v>130.35461998162023</c:v>
                </c:pt>
                <c:pt idx="331">
                  <c:v>129.77066702391014</c:v>
                </c:pt>
                <c:pt idx="332">
                  <c:v>129.16810687656428</c:v>
                </c:pt>
                <c:pt idx="333">
                  <c:v>128.54701352328249</c:v>
                </c:pt>
                <c:pt idx="334">
                  <c:v>127.90746885997395</c:v>
                </c:pt>
                <c:pt idx="335">
                  <c:v>127.24956287223667</c:v>
                </c:pt>
                <c:pt idx="336">
                  <c:v>126.57339378336972</c:v>
                </c:pt>
                <c:pt idx="337">
                  <c:v>125.87906816987575</c:v>
                </c:pt>
                <c:pt idx="338">
                  <c:v>125.16670104155645</c:v>
                </c:pt>
                <c:pt idx="339">
                  <c:v>124.4364158834815</c:v>
                </c:pt>
                <c:pt idx="340">
                  <c:v>123.68834465732142</c:v>
                </c:pt>
                <c:pt idx="341">
                  <c:v>122.92262775980461</c:v>
                </c:pt>
                <c:pt idx="342">
                  <c:v>122.13941393636138</c:v>
                </c:pt>
                <c:pt idx="343">
                  <c:v>121.33886014836123</c:v>
                </c:pt>
                <c:pt idx="344">
                  <c:v>120.52113139273591</c:v>
                </c:pt>
                <c:pt idx="345">
                  <c:v>119.68640047320598</c:v>
                </c:pt>
                <c:pt idx="346">
                  <c:v>118.83484772278008</c:v>
                </c:pt>
                <c:pt idx="347">
                  <c:v>117.96666067769006</c:v>
                </c:pt>
                <c:pt idx="348">
                  <c:v>117.08203370341955</c:v>
                </c:pt>
                <c:pt idx="349">
                  <c:v>116.18116757402471</c:v>
                </c:pt>
                <c:pt idx="350">
                  <c:v>115.26426900647125</c:v>
                </c:pt>
                <c:pt idx="351">
                  <c:v>114.33155015225738</c:v>
                </c:pt>
                <c:pt idx="352">
                  <c:v>113.38322804911587</c:v>
                </c:pt>
                <c:pt idx="353">
                  <c:v>112.41952403611998</c:v>
                </c:pt>
                <c:pt idx="354">
                  <c:v>111.44066313599753</c:v>
                </c:pt>
                <c:pt idx="355">
                  <c:v>110.44687340893871</c:v>
                </c:pt>
                <c:pt idx="356">
                  <c:v>109.43838528258765</c:v>
                </c:pt>
                <c:pt idx="357">
                  <c:v>108.41543086329717</c:v>
                </c:pt>
                <c:pt idx="358">
                  <c:v>107.37824323403849</c:v>
                </c:pt>
                <c:pt idx="359">
                  <c:v>106.32705574461119</c:v>
                </c:pt>
                <c:pt idx="360">
                  <c:v>105.26210129999129</c:v>
                </c:pt>
                <c:pt idx="361">
                  <c:v>104.18361165276774</c:v>
                </c:pt>
                <c:pt idx="362">
                  <c:v>103.09181670565214</c:v>
                </c:pt>
                <c:pt idx="363">
                  <c:v>101.98694383001201</c:v>
                </c:pt>
                <c:pt idx="364">
                  <c:v>100.86921720624827</c:v>
                </c:pt>
                <c:pt idx="365">
                  <c:v>99.738857191656564</c:v>
                </c:pt>
                <c:pt idx="366">
                  <c:v>98.596079721114648</c:v>
                </c:pt>
                <c:pt idx="367">
                  <c:v>97.441095745613325</c:v>
                </c:pt>
                <c:pt idx="368">
                  <c:v>96.27411071321535</c:v>
                </c:pt>
                <c:pt idx="369">
                  <c:v>95.095324096566571</c:v>
                </c:pt>
                <c:pt idx="370">
                  <c:v>93.904928970538393</c:v>
                </c:pt>
                <c:pt idx="371">
                  <c:v>92.703111643003822</c:v>
                </c:pt>
                <c:pt idx="372">
                  <c:v>91.490051341141779</c:v>
                </c:pt>
                <c:pt idx="373">
                  <c:v>90.265919955001934</c:v>
                </c:pt>
                <c:pt idx="374">
                  <c:v>89.03088183939829</c:v>
                </c:pt>
                <c:pt idx="375">
                  <c:v>87.785093674523296</c:v>
                </c:pt>
                <c:pt idx="376">
                  <c:v>86.528704384981282</c:v>
                </c:pt>
                <c:pt idx="377">
                  <c:v>85.26185511626835</c:v>
                </c:pt>
                <c:pt idx="378">
                  <c:v>83.984679267063768</c:v>
                </c:pt>
                <c:pt idx="379">
                  <c:v>82.697302575049207</c:v>
                </c:pt>
                <c:pt idx="380">
                  <c:v>81.399843253374357</c:v>
                </c:pt>
                <c:pt idx="381">
                  <c:v>80.092412174310013</c:v>
                </c:pt>
                <c:pt idx="382">
                  <c:v>78.775113096098693</c:v>
                </c:pt>
                <c:pt idx="383">
                  <c:v>77.448042928545107</c:v>
                </c:pt>
                <c:pt idx="384">
                  <c:v>76.111292032454145</c:v>
                </c:pt>
                <c:pt idx="385">
                  <c:v>74.764944547668975</c:v>
                </c:pt>
                <c:pt idx="386">
                  <c:v>73.409078744161633</c:v>
                </c:pt>
                <c:pt idx="387">
                  <c:v>72.043767390381802</c:v>
                </c:pt>
                <c:pt idx="388">
                  <c:v>70.669078132918926</c:v>
                </c:pt>
                <c:pt idx="389">
                  <c:v>69.285073881428019</c:v>
                </c:pt>
                <c:pt idx="390">
                  <c:v>67.891813192748188</c:v>
                </c:pt>
                <c:pt idx="391">
                  <c:v>66.489350648184086</c:v>
                </c:pt>
                <c:pt idx="392">
                  <c:v>65.077737218062126</c:v>
                </c:pt>
                <c:pt idx="393">
                  <c:v>63.657020607837012</c:v>
                </c:pt>
                <c:pt idx="394">
                  <c:v>62.227245580320542</c:v>
                </c:pt>
                <c:pt idx="395">
                  <c:v>60.788454248919372</c:v>
                </c:pt>
                <c:pt idx="396">
                  <c:v>59.34068633718293</c:v>
                </c:pt>
                <c:pt idx="397">
                  <c:v>57.883979400429922</c:v>
                </c:pt>
                <c:pt idx="398">
                  <c:v>56.418369005761143</c:v>
                </c:pt>
                <c:pt idx="399">
                  <c:v>54.9438888673481</c:v>
                </c:pt>
                <c:pt idx="400">
                  <c:v>53.460570934545238</c:v>
                </c:pt>
                <c:pt idx="401">
                  <c:v>51.968445431063429</c:v>
                </c:pt>
                <c:pt idx="402">
                  <c:v>50.467540844182807</c:v>
                </c:pt>
                <c:pt idx="403">
                  <c:v>48.957883863767208</c:v>
                </c:pt>
                <c:pt idx="404">
                  <c:v>47.439499271633835</c:v>
                </c:pt>
                <c:pt idx="405">
                  <c:v>45.912409782687142</c:v>
                </c:pt>
                <c:pt idx="406">
                  <c:v>44.376635840040841</c:v>
                </c:pt>
                <c:pt idx="407">
                  <c:v>42.832195367232451</c:v>
                </c:pt>
                <c:pt idx="408">
                  <c:v>41.279103481461405</c:v>
                </c:pt>
                <c:pt idx="409">
                  <c:v>39.717372172632111</c:v>
                </c:pt>
                <c:pt idx="410">
                  <c:v>38.147009953805131</c:v>
                </c:pt>
                <c:pt idx="411">
                  <c:v>36.568021489435409</c:v>
                </c:pt>
                <c:pt idx="412">
                  <c:v>34.980407208557807</c:v>
                </c:pt>
                <c:pt idx="413">
                  <c:v>33.384162910765774</c:v>
                </c:pt>
                <c:pt idx="414">
                  <c:v>31.779279373515635</c:v>
                </c:pt>
                <c:pt idx="415">
                  <c:v>30.165741969876535</c:v>
                </c:pt>
                <c:pt idx="416">
                  <c:v>28.543530306403348</c:v>
                </c:pt>
                <c:pt idx="417">
                  <c:v>26.912617891271172</c:v>
                </c:pt>
                <c:pt idx="418">
                  <c:v>25.272971843236675</c:v>
                </c:pt>
                <c:pt idx="419">
                  <c:v>23.624552652292813</c:v>
                </c:pt>
                <c:pt idx="420">
                  <c:v>21.96731400315748</c:v>
                </c:pt>
                <c:pt idx="421">
                  <c:v>20.301202672891812</c:v>
                </c:pt>
                <c:pt idx="422">
                  <c:v>18.626158514037058</c:v>
                </c:pt>
                <c:pt idx="423">
                  <c:v>16.94211453464408</c:v>
                </c:pt>
                <c:pt idx="424">
                  <c:v>15.248997086492146</c:v>
                </c:pt>
                <c:pt idx="425">
                  <c:v>13.546726172588766</c:v>
                </c:pt>
                <c:pt idx="426">
                  <c:v>11.83521588475962</c:v>
                </c:pt>
                <c:pt idx="427">
                  <c:v>10.114374981747972</c:v>
                </c:pt>
                <c:pt idx="428">
                  <c:v>8.384107617713342</c:v>
                </c:pt>
                <c:pt idx="429">
                  <c:v>6.6443142303856879</c:v>
                </c:pt>
                <c:pt idx="430">
                  <c:v>4.8948925973657822</c:v>
                </c:pt>
                <c:pt idx="431">
                  <c:v>3.1357390681005866</c:v>
                </c:pt>
                <c:pt idx="432">
                  <c:v>1.366749977982884</c:v>
                </c:pt>
                <c:pt idx="433">
                  <c:v>-0.41217675029770223</c:v>
                </c:pt>
                <c:pt idx="434">
                  <c:v>-2.2011398145173433</c:v>
                </c:pt>
                <c:pt idx="435">
                  <c:v>-4.0002325479158181</c:v>
                </c:pt>
                <c:pt idx="436">
                  <c:v>-5.8095407415620359</c:v>
                </c:pt>
                <c:pt idx="437">
                  <c:v>-7.6291402764874157</c:v>
                </c:pt>
                <c:pt idx="438">
                  <c:v>-9.4590945705914891</c:v>
                </c:pt>
                <c:pt idx="439">
                  <c:v>-11.299451848210868</c:v>
                </c:pt>
                <c:pt idx="440">
                  <c:v>-13.150242243469808</c:v>
                </c:pt>
                <c:pt idx="441">
                  <c:v>-15.011474752095623</c:v>
                </c:pt>
                <c:pt idx="442">
                  <c:v>-16.883134050228612</c:v>
                </c:pt>
                <c:pt idx="443">
                  <c:v>-18.765177202938968</c:v>
                </c:pt>
                <c:pt idx="444">
                  <c:v>-20.657530289576219</c:v>
                </c:pt>
                <c:pt idx="445">
                  <c:v>-22.560084977689517</c:v>
                </c:pt>
                <c:pt idx="446">
                  <c:v>-24.472695081995514</c:v>
                </c:pt>
                <c:pt idx="447">
                  <c:v>-26.395173149621225</c:v>
                </c:pt>
                <c:pt idx="448">
                  <c:v>-28.327287117486616</c:v>
                </c:pt>
                <c:pt idx="449">
                  <c:v>-30.26875709207145</c:v>
                </c:pt>
                <c:pt idx="450">
                  <c:v>-32.219252305760229</c:v>
                </c:pt>
                <c:pt idx="451">
                  <c:v>-34.178388307267035</c:v>
                </c:pt>
                <c:pt idx="452">
                  <c:v>-36.145724446144932</c:v>
                </c:pt>
                <c:pt idx="453">
                  <c:v>-38.120761712807791</c:v>
                </c:pt>
                <c:pt idx="454">
                  <c:v>-40.10294099567831</c:v>
                </c:pt>
                <c:pt idx="455">
                  <c:v>-42.091641815804103</c:v>
                </c:pt>
                <c:pt idx="456">
                  <c:v>-44.086181596348354</c:v>
                </c:pt>
                <c:pt idx="457">
                  <c:v>-46.085815519709307</c:v>
                </c:pt>
                <c:pt idx="458">
                  <c:v>-48.089737018457825</c:v>
                </c:pt>
                <c:pt idx="459">
                  <c:v>-50.097078937897976</c:v>
                </c:pt>
                <c:pt idx="460">
                  <c:v>-52.106915397835635</c:v>
                </c:pt>
                <c:pt idx="461">
                  <c:v>-54.118264369261652</c:v>
                </c:pt>
                <c:pt idx="462">
                  <c:v>-56.130090968358239</c:v>
                </c:pt>
                <c:pt idx="463">
                  <c:v>-58.14131145582823</c:v>
                </c:pt>
                <c:pt idx="464">
                  <c:v>-60.150797914438947</c:v>
                </c:pt>
                <c:pt idx="465">
                  <c:v>-62.157383562343142</c:v>
                </c:pt>
                <c:pt idx="466">
                  <c:v>-64.159868644721598</c:v>
                </c:pt>
                <c:pt idx="467">
                  <c:v>-66.15702683208724</c:v>
                </c:pt>
                <c:pt idx="468">
                  <c:v>-68.147612040825763</c:v>
                </c:pt>
                <c:pt idx="469">
                  <c:v>-70.1303655806542</c:v>
                </c:pt>
                <c:pt idx="470">
                  <c:v>-72.104023525161566</c:v>
                </c:pt>
                <c:pt idx="471">
                  <c:v>-74.067324195793958</c:v>
                </c:pt>
                <c:pt idx="472">
                  <c:v>-76.019015646806025</c:v>
                </c:pt>
                <c:pt idx="473">
                  <c:v>-77.957863038970117</c:v>
                </c:pt>
                <c:pt idx="474">
                  <c:v>-79.88265579315744</c:v>
                </c:pt>
                <c:pt idx="475">
                  <c:v>-81.792214421159613</c:v>
                </c:pt>
                <c:pt idx="476">
                  <c:v>-83.685396940048165</c:v>
                </c:pt>
                <c:pt idx="477">
                  <c:v>-85.561104787528294</c:v>
                </c:pt>
                <c:pt idx="478">
                  <c:v>-87.418288168741256</c:v>
                </c:pt>
                <c:pt idx="479">
                  <c:v>-89.255950779228385</c:v>
                </c:pt>
                <c:pt idx="480">
                  <c:v>-91.073153863763764</c:v>
                </c:pt>
                <c:pt idx="481">
                  <c:v>-92.869019585942141</c:v>
                </c:pt>
                <c:pt idx="482">
                  <c:v>-94.642733698262575</c:v>
                </c:pt>
                <c:pt idx="483">
                  <c:v>-96.393547516498501</c:v>
                </c:pt>
                <c:pt idx="484">
                  <c:v>-98.120779215034659</c:v>
                </c:pt>
                <c:pt idx="485">
                  <c:v>-99.823814471234016</c:v>
                </c:pt>
                <c:pt idx="486">
                  <c:v>-101.50210649659653</c:v>
                </c:pt>
                <c:pt idx="487">
                  <c:v>-103.15517550033502</c:v>
                </c:pt>
                <c:pt idx="488">
                  <c:v>-104.78260763698017</c:v>
                </c:pt>
                <c:pt idx="489">
                  <c:v>-106.38405349379687</c:v>
                </c:pt>
                <c:pt idx="490">
                  <c:v>-107.95922617619657</c:v>
                </c:pt>
                <c:pt idx="491">
                  <c:v>-109.50789905016407</c:v>
                </c:pt>
                <c:pt idx="492">
                  <c:v>-111.02990320012609</c:v>
                </c:pt>
                <c:pt idx="493">
                  <c:v>-112.52512465890142</c:v>
                </c:pt>
                <c:pt idx="494">
                  <c:v>-113.99350146359278</c:v>
                </c:pt>
                <c:pt idx="495">
                  <c:v>-115.43502058773151</c:v>
                </c:pt>
                <c:pt idx="496">
                  <c:v>-116.849714795879</c:v>
                </c:pt>
                <c:pt idx="497">
                  <c:v>-118.23765946239891</c:v>
                </c:pt>
                <c:pt idx="498">
                  <c:v>-119.59896939143363</c:v>
                </c:pt>
                <c:pt idx="499">
                  <c:v>-120.93379567038406</c:v>
                </c:pt>
                <c:pt idx="500">
                  <c:v>-122.2423225845253</c:v>
                </c:pt>
                <c:pt idx="501">
                  <c:v>-123.52476461590811</c:v>
                </c:pt>
                <c:pt idx="502">
                  <c:v>-124.78136354544691</c:v>
                </c:pt>
                <c:pt idx="503">
                  <c:v>-126.01238567317009</c:v>
                </c:pt>
                <c:pt idx="504">
                  <c:v>-127.21811916801109</c:v>
                </c:pt>
                <c:pt idx="505">
                  <c:v>-128.3988715552882</c:v>
                </c:pt>
                <c:pt idx="506">
                  <c:v>-129.55496734717235</c:v>
                </c:pt>
                <c:pt idx="507">
                  <c:v>-130.68674581893114</c:v>
                </c:pt>
                <c:pt idx="508">
                  <c:v>-131.79455893161753</c:v>
                </c:pt>
                <c:pt idx="509">
                  <c:v>-132.87876940004287</c:v>
                </c:pt>
                <c:pt idx="510">
                  <c:v>-133.93974890339237</c:v>
                </c:pt>
                <c:pt idx="511">
                  <c:v>-134.97787643462419</c:v>
                </c:pt>
                <c:pt idx="512">
                  <c:v>-135.99353678381848</c:v>
                </c:pt>
                <c:pt idx="513">
                  <c:v>-136.98711914993376</c:v>
                </c:pt>
                <c:pt idx="514">
                  <c:v>-137.95901587487731</c:v>
                </c:pt>
                <c:pt idx="515">
                  <c:v>-138.90962129343498</c:v>
                </c:pt>
                <c:pt idx="516">
                  <c:v>-139.83933069239959</c:v>
                </c:pt>
                <c:pt idx="517">
                  <c:v>-140.74853937214036</c:v>
                </c:pt>
                <c:pt idx="518">
                  <c:v>-141.63764180386178</c:v>
                </c:pt>
                <c:pt idx="519">
                  <c:v>-142.50703087590745</c:v>
                </c:pt>
                <c:pt idx="520">
                  <c:v>-143.35709722261302</c:v>
                </c:pt>
                <c:pt idx="521">
                  <c:v>-144.18822862943523</c:v>
                </c:pt>
                <c:pt idx="522">
                  <c:v>-145.0008095083314</c:v>
                </c:pt>
                <c:pt idx="523">
                  <c:v>-145.79522043764715</c:v>
                </c:pt>
                <c:pt idx="524">
                  <c:v>-146.57183776107127</c:v>
                </c:pt>
                <c:pt idx="525">
                  <c:v>-147.33103324051928</c:v>
                </c:pt>
                <c:pt idx="526">
                  <c:v>-148.07317375813713</c:v>
                </c:pt>
                <c:pt idx="527">
                  <c:v>-148.79862106292177</c:v>
                </c:pt>
                <c:pt idx="528">
                  <c:v>-149.50773155776236</c:v>
                </c:pt>
                <c:pt idx="529">
                  <c:v>-150.20085612302867</c:v>
                </c:pt>
                <c:pt idx="530">
                  <c:v>-150.87833997309338</c:v>
                </c:pt>
                <c:pt idx="531">
                  <c:v>-151.54052254249163</c:v>
                </c:pt>
                <c:pt idx="532">
                  <c:v>-152.1877373986554</c:v>
                </c:pt>
                <c:pt idx="533">
                  <c:v>-152.82031217844002</c:v>
                </c:pt>
                <c:pt idx="534">
                  <c:v>-153.43856854586966</c:v>
                </c:pt>
                <c:pt idx="535">
                  <c:v>-154.04282216878158</c:v>
                </c:pt>
                <c:pt idx="536">
                  <c:v>-154.63338271222761</c:v>
                </c:pt>
                <c:pt idx="537">
                  <c:v>-155.21055384670777</c:v>
                </c:pt>
                <c:pt idx="538">
                  <c:v>-155.77463326947344</c:v>
                </c:pt>
                <c:pt idx="539">
                  <c:v>-156.32591273731194</c:v>
                </c:pt>
                <c:pt idx="540">
                  <c:v>-156.86467810937319</c:v>
                </c:pt>
                <c:pt idx="541">
                  <c:v>-157.39120939873811</c:v>
                </c:pt>
              </c:numCache>
            </c:numRef>
          </c:yVal>
          <c:smooth val="1"/>
          <c:extLst>
            <c:ext xmlns:c16="http://schemas.microsoft.com/office/drawing/2014/chart" uri="{C3380CC4-5D6E-409C-BE32-E72D297353CC}">
              <c16:uniqueId val="{00000001-7AB1-42AA-8DBD-6D7B5452EF93}"/>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44.402335108064065</c:v>
                </c:pt>
                <c:pt idx="1">
                  <c:v>44.389968122411567</c:v>
                </c:pt>
                <c:pt idx="2">
                  <c:v>44.377055945958695</c:v>
                </c:pt>
                <c:pt idx="3">
                  <c:v>44.363576271877754</c:v>
                </c:pt>
                <c:pt idx="4">
                  <c:v>44.349506035114942</c:v>
                </c:pt>
                <c:pt idx="5">
                  <c:v>44.334821400411002</c:v>
                </c:pt>
                <c:pt idx="6">
                  <c:v>44.319497751468795</c:v>
                </c:pt>
                <c:pt idx="7">
                  <c:v>44.303509681413701</c:v>
                </c:pt>
                <c:pt idx="8">
                  <c:v>44.286830984705745</c:v>
                </c:pt>
                <c:pt idx="9">
                  <c:v>44.269434650666703</c:v>
                </c:pt>
                <c:pt idx="10">
                  <c:v>44.251292858795978</c:v>
                </c:pt>
                <c:pt idx="11">
                  <c:v>44.232376976054468</c:v>
                </c:pt>
                <c:pt idx="12">
                  <c:v>44.212657556303938</c:v>
                </c:pt>
                <c:pt idx="13">
                  <c:v>44.192104342094737</c:v>
                </c:pt>
                <c:pt idx="14">
                  <c:v>44.170686268999248</c:v>
                </c:pt>
                <c:pt idx="15">
                  <c:v>44.148371472694699</c:v>
                </c:pt>
                <c:pt idx="16">
                  <c:v>44.125127298999715</c:v>
                </c:pt>
                <c:pt idx="17">
                  <c:v>44.100920317071797</c:v>
                </c:pt>
                <c:pt idx="18">
                  <c:v>44.075716335971798</c:v>
                </c:pt>
                <c:pt idx="19">
                  <c:v>44.04948042480121</c:v>
                </c:pt>
                <c:pt idx="20">
                  <c:v>44.022176936611991</c:v>
                </c:pt>
                <c:pt idx="21">
                  <c:v>43.993769536282983</c:v>
                </c:pt>
                <c:pt idx="22">
                  <c:v>43.964221232550614</c:v>
                </c:pt>
                <c:pt idx="23">
                  <c:v>43.933494414364588</c:v>
                </c:pt>
                <c:pt idx="24">
                  <c:v>43.901550891732171</c:v>
                </c:pt>
                <c:pt idx="25">
                  <c:v>43.868351941190163</c:v>
                </c:pt>
                <c:pt idx="26">
                  <c:v>43.833858356029118</c:v>
                </c:pt>
                <c:pt idx="27">
                  <c:v>43.798030501365687</c:v>
                </c:pt>
                <c:pt idx="28">
                  <c:v>43.760828374135286</c:v>
                </c:pt>
                <c:pt idx="29">
                  <c:v>43.722211668044324</c:v>
                </c:pt>
                <c:pt idx="30">
                  <c:v>43.682139843487889</c:v>
                </c:pt>
                <c:pt idx="31">
                  <c:v>43.640572202401806</c:v>
                </c:pt>
                <c:pt idx="32">
                  <c:v>43.597467967976165</c:v>
                </c:pt>
                <c:pt idx="33">
                  <c:v>43.552786369115267</c:v>
                </c:pt>
                <c:pt idx="34">
                  <c:v>43.506486729480152</c:v>
                </c:pt>
                <c:pt idx="35">
                  <c:v>43.458528560904782</c:v>
                </c:pt>
                <c:pt idx="36">
                  <c:v>43.40887166092196</c:v>
                </c:pt>
                <c:pt idx="37">
                  <c:v>43.35747621408661</c:v>
                </c:pt>
                <c:pt idx="38">
                  <c:v>43.304302896728892</c:v>
                </c:pt>
                <c:pt idx="39">
                  <c:v>43.249312984717776</c:v>
                </c:pt>
                <c:pt idx="40">
                  <c:v>43.192468463762751</c:v>
                </c:pt>
                <c:pt idx="41">
                  <c:v>43.133732141729752</c:v>
                </c:pt>
                <c:pt idx="42">
                  <c:v>43.073067762401386</c:v>
                </c:pt>
                <c:pt idx="43">
                  <c:v>43.010440120061077</c:v>
                </c:pt>
                <c:pt idx="44">
                  <c:v>42.945815174244757</c:v>
                </c:pt>
                <c:pt idx="45">
                  <c:v>42.87916016396246</c:v>
                </c:pt>
                <c:pt idx="46">
                  <c:v>42.810443720665241</c:v>
                </c:pt>
                <c:pt idx="47">
                  <c:v>42.739635979205694</c:v>
                </c:pt>
                <c:pt idx="48">
                  <c:v>42.666708686026183</c:v>
                </c:pt>
                <c:pt idx="49">
                  <c:v>42.591635303799329</c:v>
                </c:pt>
                <c:pt idx="50">
                  <c:v>42.514391111745347</c:v>
                </c:pt>
                <c:pt idx="51">
                  <c:v>42.434953300861778</c:v>
                </c:pt>
                <c:pt idx="52">
                  <c:v>42.353301063319016</c:v>
                </c:pt>
                <c:pt idx="53">
                  <c:v>42.269415675302795</c:v>
                </c:pt>
                <c:pt idx="54">
                  <c:v>42.183280572625918</c:v>
                </c:pt>
                <c:pt idx="55">
                  <c:v>42.094881418475147</c:v>
                </c:pt>
                <c:pt idx="56">
                  <c:v>42.004206162719022</c:v>
                </c:pt>
                <c:pt idx="57">
                  <c:v>41.911245092263847</c:v>
                </c:pt>
                <c:pt idx="58">
                  <c:v>41.815990872019881</c:v>
                </c:pt>
                <c:pt idx="59">
                  <c:v>41.718438576116903</c:v>
                </c:pt>
                <c:pt idx="60">
                  <c:v>41.618585709092137</c:v>
                </c:pt>
                <c:pt idx="61">
                  <c:v>41.516432216863265</c:v>
                </c:pt>
                <c:pt idx="62">
                  <c:v>41.411980487388945</c:v>
                </c:pt>
                <c:pt idx="63">
                  <c:v>41.305235341012548</c:v>
                </c:pt>
                <c:pt idx="64">
                  <c:v>41.196204010577702</c:v>
                </c:pt>
                <c:pt idx="65">
                  <c:v>41.084896111495141</c:v>
                </c:pt>
                <c:pt idx="66">
                  <c:v>40.971323602029869</c:v>
                </c:pt>
                <c:pt idx="67">
                  <c:v>40.855500734160586</c:v>
                </c:pt>
                <c:pt idx="68">
                  <c:v>40.737443995444302</c:v>
                </c:pt>
                <c:pt idx="69">
                  <c:v>40.617172042391033</c:v>
                </c:pt>
                <c:pt idx="70">
                  <c:v>40.494705625918996</c:v>
                </c:pt>
                <c:pt idx="71">
                  <c:v>40.370067509517</c:v>
                </c:pt>
                <c:pt idx="72">
                  <c:v>40.243282380791968</c:v>
                </c:pt>
                <c:pt idx="73">
                  <c:v>40.11437675711435</c:v>
                </c:pt>
                <c:pt idx="74">
                  <c:v>39.983378886107729</c:v>
                </c:pt>
                <c:pt idx="75">
                  <c:v>39.850318641746334</c:v>
                </c:pt>
                <c:pt idx="76">
                  <c:v>39.715227416835972</c:v>
                </c:pt>
                <c:pt idx="77">
                  <c:v>39.57813801265425</c:v>
                </c:pt>
                <c:pt idx="78">
                  <c:v>39.439084526519309</c:v>
                </c:pt>
                <c:pt idx="79">
                  <c:v>39.29810223803991</c:v>
                </c:pt>
                <c:pt idx="80">
                  <c:v>39.155227494776625</c:v>
                </c:pt>
                <c:pt idx="81">
                  <c:v>39.010497598013885</c:v>
                </c:pt>
                <c:pt idx="82">
                  <c:v>38.863950689307273</c:v>
                </c:pt>
                <c:pt idx="83">
                  <c:v>38.715625638427404</c:v>
                </c:pt>
                <c:pt idx="84">
                  <c:v>38.565561933279383</c:v>
                </c:pt>
                <c:pt idx="85">
                  <c:v>38.413799572326397</c:v>
                </c:pt>
                <c:pt idx="86">
                  <c:v>38.260378959995464</c:v>
                </c:pt>
                <c:pt idx="87">
                  <c:v>38.105340805491871</c:v>
                </c:pt>
                <c:pt idx="88">
                  <c:v>37.94872602539521</c:v>
                </c:pt>
                <c:pt idx="89">
                  <c:v>37.790575650357397</c:v>
                </c:pt>
                <c:pt idx="90">
                  <c:v>37.630930736170193</c:v>
                </c:pt>
                <c:pt idx="91">
                  <c:v>37.46983227942021</c:v>
                </c:pt>
                <c:pt idx="92">
                  <c:v>37.307321137899024</c:v>
                </c:pt>
                <c:pt idx="93">
                  <c:v>37.143437955890185</c:v>
                </c:pt>
                <c:pt idx="94">
                  <c:v>36.978223094411732</c:v>
                </c:pt>
                <c:pt idx="95">
                  <c:v>36.811716566449789</c:v>
                </c:pt>
                <c:pt idx="96">
                  <c:v>36.643957977182978</c:v>
                </c:pt>
                <c:pt idx="97">
                  <c:v>36.47498646916312</c:v>
                </c:pt>
                <c:pt idx="98">
                  <c:v>36.30484067238384</c:v>
                </c:pt>
                <c:pt idx="99">
                  <c:v>36.13355865914609</c:v>
                </c:pt>
                <c:pt idx="100">
                  <c:v>35.961177903599882</c:v>
                </c:pt>
                <c:pt idx="101">
                  <c:v>35.787735245825438</c:v>
                </c:pt>
                <c:pt idx="102">
                  <c:v>35.613266860295973</c:v>
                </c:pt>
                <c:pt idx="103">
                  <c:v>35.437808228552051</c:v>
                </c:pt>
                <c:pt idx="104">
                  <c:v>35.261394115904025</c:v>
                </c:pt>
                <c:pt idx="105">
                  <c:v>35.084058551972298</c:v>
                </c:pt>
                <c:pt idx="106">
                  <c:v>34.905834814865145</c:v>
                </c:pt>
                <c:pt idx="107">
                  <c:v>34.726755418794546</c:v>
                </c:pt>
                <c:pt idx="108">
                  <c:v>34.546852104923296</c:v>
                </c:pt>
                <c:pt idx="109">
                  <c:v>34.366155835241145</c:v>
                </c:pt>
                <c:pt idx="110">
                  <c:v>34.184696789264642</c:v>
                </c:pt>
                <c:pt idx="111">
                  <c:v>34.00250436336254</c:v>
                </c:pt>
                <c:pt idx="112">
                  <c:v>33.819607172509897</c:v>
                </c:pt>
                <c:pt idx="113">
                  <c:v>33.636033054279686</c:v>
                </c:pt>
                <c:pt idx="114">
                  <c:v>33.45180907488831</c:v>
                </c:pt>
                <c:pt idx="115">
                  <c:v>33.2669615371167</c:v>
                </c:pt>
                <c:pt idx="116">
                  <c:v>33.08151598993647</c:v>
                </c:pt>
                <c:pt idx="117">
                  <c:v>32.895497239679628</c:v>
                </c:pt>
                <c:pt idx="118">
                  <c:v>32.708929362596187</c:v>
                </c:pt>
                <c:pt idx="119">
                  <c:v>32.521835718655737</c:v>
                </c:pt>
                <c:pt idx="120">
                  <c:v>32.334238966454329</c:v>
                </c:pt>
                <c:pt idx="121">
                  <c:v>32.146161079098704</c:v>
                </c:pt>
                <c:pt idx="122">
                  <c:v>31.95762336094797</c:v>
                </c:pt>
                <c:pt idx="123">
                  <c:v>31.768646465100584</c:v>
                </c:pt>
                <c:pt idx="124">
                  <c:v>31.579250411524015</c:v>
                </c:pt>
                <c:pt idx="125">
                  <c:v>31.389454605731174</c:v>
                </c:pt>
                <c:pt idx="126">
                  <c:v>31.199277857916094</c:v>
                </c:pt>
                <c:pt idx="127">
                  <c:v>31.008738402470147</c:v>
                </c:pt>
                <c:pt idx="128">
                  <c:v>30.817853917804694</c:v>
                </c:pt>
                <c:pt idx="129">
                  <c:v>30.626641546414653</c:v>
                </c:pt>
                <c:pt idx="130">
                  <c:v>30.435117915125126</c:v>
                </c:pt>
                <c:pt idx="131">
                  <c:v>30.243299155466548</c:v>
                </c:pt>
                <c:pt idx="132">
                  <c:v>30.051200924132651</c:v>
                </c:pt>
                <c:pt idx="133">
                  <c:v>29.858838423479185</c:v>
                </c:pt>
                <c:pt idx="134">
                  <c:v>29.666226422027435</c:v>
                </c:pt>
                <c:pt idx="135">
                  <c:v>29.473379274942136</c:v>
                </c:pt>
                <c:pt idx="136">
                  <c:v>29.280310944455415</c:v>
                </c:pt>
                <c:pt idx="137">
                  <c:v>29.08703502021671</c:v>
                </c:pt>
                <c:pt idx="138">
                  <c:v>28.893564739549053</c:v>
                </c:pt>
                <c:pt idx="139">
                  <c:v>28.699913007596471</c:v>
                </c:pt>
                <c:pt idx="140">
                  <c:v>28.506092417353479</c:v>
                </c:pt>
                <c:pt idx="141">
                  <c:v>28.312115269566341</c:v>
                </c:pt>
                <c:pt idx="142">
                  <c:v>28.117993592502096</c:v>
                </c:pt>
                <c:pt idx="143">
                  <c:v>27.923739161582986</c:v>
                </c:pt>
                <c:pt idx="144">
                  <c:v>27.729363518885041</c:v>
                </c:pt>
                <c:pt idx="145">
                  <c:v>27.534877992504249</c:v>
                </c:pt>
                <c:pt idx="146">
                  <c:v>27.340293715793287</c:v>
                </c:pt>
                <c:pt idx="147">
                  <c:v>27.14562164647495</c:v>
                </c:pt>
                <c:pt idx="148">
                  <c:v>26.950872585639946</c:v>
                </c:pt>
                <c:pt idx="149">
                  <c:v>26.756057196637251</c:v>
                </c:pt>
                <c:pt idx="150">
                  <c:v>26.561186023867506</c:v>
                </c:pt>
                <c:pt idx="151">
                  <c:v>26.366269511490547</c:v>
                </c:pt>
                <c:pt idx="152">
                  <c:v>26.171318022058529</c:v>
                </c:pt>
                <c:pt idx="153">
                  <c:v>25.976341855087618</c:v>
                </c:pt>
                <c:pt idx="154">
                  <c:v>25.781351265582554</c:v>
                </c:pt>
                <c:pt idx="155">
                  <c:v>25.586356482525801</c:v>
                </c:pt>
                <c:pt idx="156">
                  <c:v>25.391367727347909</c:v>
                </c:pt>
                <c:pt idx="157">
                  <c:v>25.196395232391087</c:v>
                </c:pt>
                <c:pt idx="158">
                  <c:v>25.001449259382408</c:v>
                </c:pt>
                <c:pt idx="159">
                  <c:v>24.806540117929604</c:v>
                </c:pt>
                <c:pt idx="160">
                  <c:v>24.611678184053826</c:v>
                </c:pt>
                <c:pt idx="161">
                  <c:v>24.416873918773732</c:v>
                </c:pt>
                <c:pt idx="162">
                  <c:v>24.222137886753707</c:v>
                </c:pt>
                <c:pt idx="163">
                  <c:v>24.027480775028035</c:v>
                </c:pt>
                <c:pt idx="164">
                  <c:v>23.832913411815145</c:v>
                </c:pt>
                <c:pt idx="165">
                  <c:v>23.638446785429963</c:v>
                </c:pt>
                <c:pt idx="166">
                  <c:v>23.444092063306901</c:v>
                </c:pt>
                <c:pt idx="167">
                  <c:v>23.24986061113956</c:v>
                </c:pt>
                <c:pt idx="168">
                  <c:v>23.05576401214665</c:v>
                </c:pt>
                <c:pt idx="169">
                  <c:v>22.861814086467795</c:v>
                </c:pt>
                <c:pt idx="170">
                  <c:v>22.668022910694066</c:v>
                </c:pt>
                <c:pt idx="171">
                  <c:v>22.474402837534395</c:v>
                </c:pt>
                <c:pt idx="172">
                  <c:v>22.280966515617486</c:v>
                </c:pt>
                <c:pt idx="173">
                  <c:v>22.087726909426756</c:v>
                </c:pt>
                <c:pt idx="174">
                  <c:v>21.894697319361605</c:v>
                </c:pt>
                <c:pt idx="175">
                  <c:v>21.701891401918306</c:v>
                </c:pt>
                <c:pt idx="176">
                  <c:v>21.509323189976122</c:v>
                </c:pt>
                <c:pt idx="177">
                  <c:v>21.317007113176395</c:v>
                </c:pt>
                <c:pt idx="178">
                  <c:v>21.124958018373601</c:v>
                </c:pt>
                <c:pt idx="179">
                  <c:v>20.933191190136625</c:v>
                </c:pt>
                <c:pt idx="180">
                  <c:v>20.741722371271997</c:v>
                </c:pt>
                <c:pt idx="181">
                  <c:v>20.55056778333801</c:v>
                </c:pt>
                <c:pt idx="182">
                  <c:v>20.359744147112885</c:v>
                </c:pt>
                <c:pt idx="183">
                  <c:v>20.16926870297339</c:v>
                </c:pt>
                <c:pt idx="184">
                  <c:v>19.979159231138265</c:v>
                </c:pt>
                <c:pt idx="185">
                  <c:v>19.789434071721054</c:v>
                </c:pt>
                <c:pt idx="186">
                  <c:v>19.600112144531725</c:v>
                </c:pt>
                <c:pt idx="187">
                  <c:v>19.411212968562648</c:v>
                </c:pt>
                <c:pt idx="188">
                  <c:v>19.222756681082661</c:v>
                </c:pt>
                <c:pt idx="189">
                  <c:v>19.034764056259462</c:v>
                </c:pt>
                <c:pt idx="190">
                  <c:v>18.84725652322118</c:v>
                </c:pt>
                <c:pt idx="191">
                  <c:v>18.660256183461282</c:v>
                </c:pt>
                <c:pt idx="192">
                  <c:v>18.473785827481038</c:v>
                </c:pt>
                <c:pt idx="193">
                  <c:v>18.287868950557829</c:v>
                </c:pt>
                <c:pt idx="194">
                  <c:v>18.102529767517211</c:v>
                </c:pt>
                <c:pt idx="195">
                  <c:v>17.917793226378866</c:v>
                </c:pt>
                <c:pt idx="196">
                  <c:v>17.733685020738399</c:v>
                </c:pt>
                <c:pt idx="197">
                  <c:v>17.550231600737256</c:v>
                </c:pt>
                <c:pt idx="198">
                  <c:v>17.367460182465923</c:v>
                </c:pt>
                <c:pt idx="199">
                  <c:v>17.185398755636271</c:v>
                </c:pt>
                <c:pt idx="200">
                  <c:v>17.00407608935177</c:v>
                </c:pt>
                <c:pt idx="201">
                  <c:v>16.823521735797261</c:v>
                </c:pt>
                <c:pt idx="202">
                  <c:v>16.643766031661798</c:v>
                </c:pt>
                <c:pt idx="203">
                  <c:v>16.464840097103401</c:v>
                </c:pt>
                <c:pt idx="204">
                  <c:v>16.286775832059647</c:v>
                </c:pt>
                <c:pt idx="205">
                  <c:v>16.109605909702609</c:v>
                </c:pt>
                <c:pt idx="206">
                  <c:v>15.933363766835589</c:v>
                </c:pt>
                <c:pt idx="207">
                  <c:v>15.758083591026782</c:v>
                </c:pt>
                <c:pt idx="208">
                  <c:v>15.583800304276263</c:v>
                </c:pt>
                <c:pt idx="209">
                  <c:v>15.410549543014758</c:v>
                </c:pt>
                <c:pt idx="210">
                  <c:v>15.23836763423671</c:v>
                </c:pt>
                <c:pt idx="211">
                  <c:v>15.067291567578415</c:v>
                </c:pt>
                <c:pt idx="212">
                  <c:v>14.897358963159713</c:v>
                </c:pt>
                <c:pt idx="213">
                  <c:v>14.728608035020862</c:v>
                </c:pt>
                <c:pt idx="214">
                  <c:v>14.561077550001311</c:v>
                </c:pt>
                <c:pt idx="215">
                  <c:v>14.394806781924672</c:v>
                </c:pt>
                <c:pt idx="216">
                  <c:v>14.229835460975826</c:v>
                </c:pt>
                <c:pt idx="217">
                  <c:v>14.066203718181418</c:v>
                </c:pt>
                <c:pt idx="218">
                  <c:v>13.903952024931543</c:v>
                </c:pt>
                <c:pt idx="219">
                  <c:v>13.743121127514435</c:v>
                </c:pt>
                <c:pt idx="220">
                  <c:v>13.583751976668117</c:v>
                </c:pt>
                <c:pt idx="221">
                  <c:v>13.425885652193642</c:v>
                </c:pt>
                <c:pt idx="222">
                  <c:v>13.269563282714715</c:v>
                </c:pt>
                <c:pt idx="223">
                  <c:v>13.114825960713095</c:v>
                </c:pt>
                <c:pt idx="224">
                  <c:v>12.961714653016475</c:v>
                </c:pt>
                <c:pt idx="225">
                  <c:v>12.810270106964845</c:v>
                </c:pt>
                <c:pt idx="226">
                  <c:v>12.660532752531461</c:v>
                </c:pt>
                <c:pt idx="227">
                  <c:v>12.512542600728827</c:v>
                </c:pt>
                <c:pt idx="228">
                  <c:v>12.366339138681292</c:v>
                </c:pt>
                <c:pt idx="229">
                  <c:v>12.221961221798692</c:v>
                </c:pt>
                <c:pt idx="230">
                  <c:v>12.079446963540271</c:v>
                </c:pt>
                <c:pt idx="231">
                  <c:v>11.938833623304244</c:v>
                </c:pt>
                <c:pt idx="232">
                  <c:v>11.800157493030767</c:v>
                </c:pt>
                <c:pt idx="233">
                  <c:v>11.663453783147141</c:v>
                </c:pt>
                <c:pt idx="234">
                  <c:v>11.52875650852673</c:v>
                </c:pt>
                <c:pt idx="235">
                  <c:v>11.396098375166847</c:v>
                </c:pt>
                <c:pt idx="236">
                  <c:v>11.265510668320326</c:v>
                </c:pt>
                <c:pt idx="237">
                  <c:v>11.137023142837529</c:v>
                </c:pt>
                <c:pt idx="238">
                  <c:v>11.010663916490195</c:v>
                </c:pt>
                <c:pt idx="239">
                  <c:v>10.886459367054357</c:v>
                </c:pt>
                <c:pt idx="240">
                  <c:v>10.76443403392684</c:v>
                </c:pt>
                <c:pt idx="241">
                  <c:v>10.644610525038075</c:v>
                </c:pt>
                <c:pt idx="242">
                  <c:v>10.527009429802254</c:v>
                </c:pt>
                <c:pt idx="243">
                  <c:v>10.411649238815318</c:v>
                </c:pt>
                <c:pt idx="244">
                  <c:v>10.298546270969025</c:v>
                </c:pt>
                <c:pt idx="245">
                  <c:v>10.187714608602329</c:v>
                </c:pt>
                <c:pt idx="246">
                  <c:v>10.07916604124919</c:v>
                </c:pt>
                <c:pt idx="247">
                  <c:v>9.9729100184788262</c:v>
                </c:pt>
                <c:pt idx="248">
                  <c:v>9.8689536122479158</c:v>
                </c:pt>
                <c:pt idx="249">
                  <c:v>9.7673014891052681</c:v>
                </c:pt>
                <c:pt idx="250">
                  <c:v>9.6679558925041178</c:v>
                </c:pt>
                <c:pt idx="251">
                  <c:v>9.5709166353878246</c:v>
                </c:pt>
                <c:pt idx="252">
                  <c:v>9.4761811031234764</c:v>
                </c:pt>
                <c:pt idx="253">
                  <c:v>9.3837442667643636</c:v>
                </c:pt>
                <c:pt idx="254">
                  <c:v>9.2935987065311174</c:v>
                </c:pt>
                <c:pt idx="255">
                  <c:v>9.2057346453090325</c:v>
                </c:pt>
                <c:pt idx="256">
                  <c:v>9.1201399918731365</c:v>
                </c:pt>
                <c:pt idx="257">
                  <c:v>9.0368003934674075</c:v>
                </c:pt>
                <c:pt idx="258">
                  <c:v>8.9556992972894385</c:v>
                </c:pt>
                <c:pt idx="259">
                  <c:v>8.8768180203579359</c:v>
                </c:pt>
                <c:pt idx="260">
                  <c:v>8.8001358271809877</c:v>
                </c:pt>
                <c:pt idx="261">
                  <c:v>8.7256300145840893</c:v>
                </c:pt>
                <c:pt idx="262">
                  <c:v>8.6532760030144633</c:v>
                </c:pt>
                <c:pt idx="263">
                  <c:v>8.5830474335994751</c:v>
                </c:pt>
                <c:pt idx="264">
                  <c:v>8.5149162702117422</c:v>
                </c:pt>
                <c:pt idx="265">
                  <c:v>8.4488529057743182</c:v>
                </c:pt>
                <c:pt idx="266">
                  <c:v>8.3848262720335693</c:v>
                </c:pt>
                <c:pt idx="267">
                  <c:v>8.3228039520261419</c:v>
                </c:pt>
                <c:pt idx="268">
                  <c:v>8.2627522944793732</c:v>
                </c:pt>
                <c:pt idx="269">
                  <c:v>8.2046365293984955</c:v>
                </c:pt>
                <c:pt idx="270">
                  <c:v>8.1484208841236008</c:v>
                </c:pt>
                <c:pt idx="271">
                  <c:v>8.0940686991669715</c:v>
                </c:pt>
                <c:pt idx="272">
                  <c:v>8.0415425431828105</c:v>
                </c:pt>
                <c:pt idx="273">
                  <c:v>7.9908043264601609</c:v>
                </c:pt>
                <c:pt idx="274">
                  <c:v>7.9418154123787303</c:v>
                </c:pt>
                <c:pt idx="275">
                  <c:v>7.8945367263160451</c:v>
                </c:pt>
                <c:pt idx="276">
                  <c:v>7.8489288615435759</c:v>
                </c:pt>
                <c:pt idx="277">
                  <c:v>7.8049521817072396</c:v>
                </c:pt>
                <c:pt idx="278">
                  <c:v>7.7625669195335671</c:v>
                </c:pt>
                <c:pt idx="279">
                  <c:v>7.7217332714636324</c:v>
                </c:pt>
                <c:pt idx="280">
                  <c:v>7.6824114879626171</c:v>
                </c:pt>
                <c:pt idx="281">
                  <c:v>7.6445619593070315</c:v>
                </c:pt>
                <c:pt idx="282">
                  <c:v>7.6081452966985355</c:v>
                </c:pt>
                <c:pt idx="283">
                  <c:v>7.5731224085999926</c:v>
                </c:pt>
                <c:pt idx="284">
                  <c:v>7.5394545722334652</c:v>
                </c:pt>
                <c:pt idx="285">
                  <c:v>7.5071035002177577</c:v>
                </c:pt>
                <c:pt idx="286">
                  <c:v>7.4760314023635699</c:v>
                </c:pt>
                <c:pt idx="287">
                  <c:v>7.4462010426747094</c:v>
                </c:pt>
                <c:pt idx="288">
                  <c:v>7.4175757916373151</c:v>
                </c:pt>
                <c:pt idx="289">
                  <c:v>7.3901196739028139</c:v>
                </c:pt>
                <c:pt idx="290">
                  <c:v>7.3637974114963791</c:v>
                </c:pt>
                <c:pt idx="291">
                  <c:v>7.3385744627011507</c:v>
                </c:pt>
                <c:pt idx="292">
                  <c:v>7.3144170567871001</c:v>
                </c:pt>
                <c:pt idx="293">
                  <c:v>7.2912922247654084</c:v>
                </c:pt>
                <c:pt idx="294">
                  <c:v>7.2691678263624384</c:v>
                </c:pt>
                <c:pt idx="295">
                  <c:v>7.2480125734148091</c:v>
                </c:pt>
                <c:pt idx="296">
                  <c:v>7.2277960498932501</c:v>
                </c:pt>
                <c:pt idx="297">
                  <c:v>7.2084887287669446</c:v>
                </c:pt>
                <c:pt idx="298">
                  <c:v>7.1900619859221395</c:v>
                </c:pt>
                <c:pt idx="299">
                  <c:v>7.1724881113481693</c:v>
                </c:pt>
                <c:pt idx="300">
                  <c:v>7.1557403178033194</c:v>
                </c:pt>
                <c:pt idx="301">
                  <c:v>7.1397927471689826</c:v>
                </c:pt>
                <c:pt idx="302">
                  <c:v>7.1246204746972763</c:v>
                </c:pt>
                <c:pt idx="303">
                  <c:v>7.110199511351281</c:v>
                </c:pt>
                <c:pt idx="304">
                  <c:v>7.096506804432118</c:v>
                </c:pt>
                <c:pt idx="305">
                  <c:v>7.083520236678762</c:v>
                </c:pt>
                <c:pt idx="306">
                  <c:v>7.0712186240202364</c:v>
                </c:pt>
                <c:pt idx="307">
                  <c:v>7.0595817121518598</c:v>
                </c:pt>
                <c:pt idx="308">
                  <c:v>7.0485901720991242</c:v>
                </c:pt>
                <c:pt idx="309">
                  <c:v>7.0382255949243113</c:v>
                </c:pt>
                <c:pt idx="310">
                  <c:v>7.0284704857223055</c:v>
                </c:pt>
                <c:pt idx="311">
                  <c:v>7.0193082570448704</c:v>
                </c:pt>
                <c:pt idx="312">
                  <c:v>7.0107232218826487</c:v>
                </c:pt>
                <c:pt idx="313">
                  <c:v>7.0027005863264691</c:v>
                </c:pt>
                <c:pt idx="314">
                  <c:v>6.995226442022707</c:v>
                </c:pt>
                <c:pt idx="315">
                  <c:v>6.9882877585264493</c:v>
                </c:pt>
                <c:pt idx="316">
                  <c:v>6.9818723756513528</c:v>
                </c:pt>
                <c:pt idx="317">
                  <c:v>6.9759689959066593</c:v>
                </c:pt>
                <c:pt idx="318">
                  <c:v>6.97056717710299</c:v>
                </c:pt>
                <c:pt idx="319">
                  <c:v>6.9656573252043295</c:v>
                </c:pt>
                <c:pt idx="320">
                  <c:v>6.9612306874936269</c:v>
                </c:pt>
                <c:pt idx="321">
                  <c:v>6.9572793461161329</c:v>
                </c:pt>
                <c:pt idx="322">
                  <c:v>6.9537962120554289</c:v>
                </c:pt>
                <c:pt idx="323">
                  <c:v>6.9507750195931548</c:v>
                </c:pt>
                <c:pt idx="324">
                  <c:v>6.9482103212961546</c:v>
                </c:pt>
                <c:pt idx="325">
                  <c:v>6.9460974835703961</c:v>
                </c:pt>
                <c:pt idx="326">
                  <c:v>6.9444326828146909</c:v>
                </c:pt>
                <c:pt idx="327">
                  <c:v>6.9432129022020783</c:v>
                </c:pt>
                <c:pt idx="328">
                  <c:v>6.9424359291124595</c:v>
                </c:pt>
                <c:pt idx="329">
                  <c:v>6.9421003532340766</c:v>
                </c:pt>
                <c:pt idx="330">
                  <c:v>6.9422055653468941</c:v>
                </c:pt>
                <c:pt idx="331">
                  <c:v>6.9427517567970192</c:v>
                </c:pt>
                <c:pt idx="332">
                  <c:v>6.9437399196642735</c:v>
                </c:pt>
                <c:pt idx="333">
                  <c:v>6.945171847623735</c:v>
                </c:pt>
                <c:pt idx="334">
                  <c:v>6.9470501374938722</c:v>
                </c:pt>
                <c:pt idx="335">
                  <c:v>6.9493781914612294</c:v>
                </c:pt>
                <c:pt idx="336">
                  <c:v>6.9521602199663519</c:v>
                </c:pt>
                <c:pt idx="337">
                  <c:v>6.9554012452303802</c:v>
                </c:pt>
                <c:pt idx="338">
                  <c:v>6.9591071053966704</c:v>
                </c:pt>
                <c:pt idx="339">
                  <c:v>6.9632844592579524</c:v>
                </c:pt>
                <c:pt idx="340">
                  <c:v>6.967940791531789</c:v>
                </c:pt>
                <c:pt idx="341">
                  <c:v>6.9730844186437215</c:v>
                </c:pt>
                <c:pt idx="342">
                  <c:v>6.978724494971309</c:v>
                </c:pt>
                <c:pt idx="343">
                  <c:v>6.9848710194949692</c:v>
                </c:pt>
                <c:pt idx="344">
                  <c:v>6.9915348427978046</c:v>
                </c:pt>
                <c:pt idx="345">
                  <c:v>6.9987276743480367</c:v>
                </c:pt>
                <c:pt idx="346">
                  <c:v>7.0064620899915901</c:v>
                </c:pt>
                <c:pt idx="347">
                  <c:v>7.0147515395767135</c:v>
                </c:pt>
                <c:pt idx="348">
                  <c:v>7.0236103546232371</c:v>
                </c:pt>
                <c:pt idx="349">
                  <c:v>7.0330537559435342</c:v>
                </c:pt>
                <c:pt idx="350">
                  <c:v>7.0430978611131536</c:v>
                </c:pt>
                <c:pt idx="351">
                  <c:v>7.053759691682675</c:v>
                </c:pt>
                <c:pt idx="352">
                  <c:v>7.0650571800119462</c:v>
                </c:pt>
                <c:pt idx="353">
                  <c:v>7.0770091756036635</c:v>
                </c:pt>
                <c:pt idx="354">
                  <c:v>7.0896354507991184</c:v>
                </c:pt>
                <c:pt idx="355">
                  <c:v>7.102956705696382</c:v>
                </c:pt>
                <c:pt idx="356">
                  <c:v>7.1169945721392471</c:v>
                </c:pt>
                <c:pt idx="357">
                  <c:v>7.1317716166168967</c:v>
                </c:pt>
                <c:pt idx="358">
                  <c:v>7.1473113419089218</c:v>
                </c:pt>
                <c:pt idx="359">
                  <c:v>7.1636381872978427</c:v>
                </c:pt>
                <c:pt idx="360">
                  <c:v>7.1807775271689644</c:v>
                </c:pt>
                <c:pt idx="361">
                  <c:v>7.1987556678057203</c:v>
                </c:pt>
                <c:pt idx="362">
                  <c:v>7.2175998421846597</c:v>
                </c:pt>
                <c:pt idx="363">
                  <c:v>7.2373382025677824</c:v>
                </c:pt>
                <c:pt idx="364">
                  <c:v>7.2579998106864609</c:v>
                </c:pt>
                <c:pt idx="365">
                  <c:v>7.2796146253040641</c:v>
                </c:pt>
                <c:pt idx="366">
                  <c:v>7.3022134869475455</c:v>
                </c:pt>
                <c:pt idx="367">
                  <c:v>7.32582809959092</c:v>
                </c:pt>
                <c:pt idx="368">
                  <c:v>7.3504910090812938</c:v>
                </c:pt>
                <c:pt idx="369">
                  <c:v>7.3762355780937972</c:v>
                </c:pt>
                <c:pt idx="370">
                  <c:v>7.4030959574133712</c:v>
                </c:pt>
                <c:pt idx="371">
                  <c:v>7.4311070533435295</c:v>
                </c:pt>
                <c:pt idx="372">
                  <c:v>7.4603044910540959</c:v>
                </c:pt>
                <c:pt idx="373">
                  <c:v>7.4907245736935852</c:v>
                </c:pt>
                <c:pt idx="374">
                  <c:v>7.5224042371035988</c:v>
                </c:pt>
                <c:pt idx="375">
                  <c:v>7.5553809999962827</c:v>
                </c:pt>
                <c:pt idx="376">
                  <c:v>7.5896929094722934</c:v>
                </c:pt>
                <c:pt idx="377">
                  <c:v>7.6253784817863028</c:v>
                </c:pt>
                <c:pt idx="378">
                  <c:v>7.6624766382927305</c:v>
                </c:pt>
                <c:pt idx="379">
                  <c:v>7.7010266365377849</c:v>
                </c:pt>
                <c:pt idx="380">
                  <c:v>7.7410679964980398</c:v>
                </c:pt>
                <c:pt idx="381">
                  <c:v>7.7826404220062928</c:v>
                </c:pt>
                <c:pt idx="382">
                  <c:v>7.8257837174441747</c:v>
                </c:pt>
                <c:pt idx="383">
                  <c:v>7.8705376998299359</c:v>
                </c:pt>
                <c:pt idx="384">
                  <c:v>7.9169421064727512</c:v>
                </c:pt>
                <c:pt idx="385">
                  <c:v>7.965036498417418</c:v>
                </c:pt>
                <c:pt idx="386">
                  <c:v>8.0148601599535159</c:v>
                </c:pt>
                <c:pt idx="387">
                  <c:v>8.0664519945158268</c:v>
                </c:pt>
                <c:pt idx="388">
                  <c:v>8.1198504173560497</c:v>
                </c:pt>
                <c:pt idx="389">
                  <c:v>8.1750932454184664</c:v>
                </c:pt>
                <c:pt idx="390">
                  <c:v>8.2322175849052588</c:v>
                </c:pt>
                <c:pt idx="391">
                  <c:v>8.291259717066831</c:v>
                </c:pt>
                <c:pt idx="392">
                  <c:v>8.3522549828011527</c:v>
                </c:pt>
                <c:pt idx="393">
                  <c:v>8.4152376666894959</c:v>
                </c:pt>
                <c:pt idx="394">
                  <c:v>8.4802408811386449</c:v>
                </c:pt>
                <c:pt idx="395">
                  <c:v>8.5472964513311958</c:v>
                </c:pt>
                <c:pt idx="396">
                  <c:v>8.6164348017173626</c:v>
                </c:pt>
                <c:pt idx="397">
                  <c:v>8.6876848448016872</c:v>
                </c:pt>
                <c:pt idx="398">
                  <c:v>8.7610738729933519</c:v>
                </c:pt>
                <c:pt idx="399">
                  <c:v>8.8366274542940211</c:v>
                </c:pt>
                <c:pt idx="400">
                  <c:v>8.914369332594358</c:v>
                </c:pt>
                <c:pt idx="401">
                  <c:v>8.9943213333379681</c:v>
                </c:pt>
                <c:pt idx="402">
                  <c:v>9.0765032752895518</c:v>
                </c:pt>
                <c:pt idx="403">
                  <c:v>9.160932889112706</c:v>
                </c:pt>
                <c:pt idx="404">
                  <c:v>9.2476257434224483</c:v>
                </c:pt>
                <c:pt idx="405">
                  <c:v>9.336595178925446</c:v>
                </c:pt>
                <c:pt idx="406">
                  <c:v>9.4278522512047775</c:v>
                </c:pt>
                <c:pt idx="407">
                  <c:v>9.5214056826368463</c:v>
                </c:pt>
                <c:pt idx="408">
                  <c:v>9.6172618238551433</c:v>
                </c:pt>
                <c:pt idx="409">
                  <c:v>9.7154246250944798</c:v>
                </c:pt>
                <c:pt idx="410">
                  <c:v>9.8158956176648005</c:v>
                </c:pt>
                <c:pt idx="411">
                  <c:v>9.9186739057132858</c:v>
                </c:pt>
                <c:pt idx="412">
                  <c:v>10.023756168342501</c:v>
                </c:pt>
                <c:pt idx="413">
                  <c:v>10.131136672059712</c:v>
                </c:pt>
                <c:pt idx="414">
                  <c:v>10.240807293439424</c:v>
                </c:pt>
                <c:pt idx="415">
                  <c:v>10.352757551790752</c:v>
                </c:pt>
                <c:pt idx="416">
                  <c:v>10.466974651534866</c:v>
                </c:pt>
                <c:pt idx="417">
                  <c:v>10.583443533912806</c:v>
                </c:pt>
                <c:pt idx="418">
                  <c:v>10.702146937568187</c:v>
                </c:pt>
                <c:pt idx="419">
                  <c:v>10.823065467478957</c:v>
                </c:pt>
                <c:pt idx="420">
                  <c:v>10.946177671647261</c:v>
                </c:pt>
                <c:pt idx="421">
                  <c:v>11.071460124905528</c:v>
                </c:pt>
                <c:pt idx="422">
                  <c:v>11.198887519147396</c:v>
                </c:pt>
                <c:pt idx="423">
                  <c:v>11.328432759260206</c:v>
                </c:pt>
                <c:pt idx="424">
                  <c:v>11.460067064004543</c:v>
                </c:pt>
                <c:pt idx="425">
                  <c:v>11.593760071074435</c:v>
                </c:pt>
                <c:pt idx="426">
                  <c:v>11.729479945559946</c:v>
                </c:pt>
                <c:pt idx="427">
                  <c:v>11.867193491037895</c:v>
                </c:pt>
                <c:pt idx="428">
                  <c:v>12.006866262525486</c:v>
                </c:pt>
                <c:pt idx="429">
                  <c:v>12.148462680551454</c:v>
                </c:pt>
                <c:pt idx="430">
                  <c:v>12.291946145621875</c:v>
                </c:pt>
                <c:pt idx="431">
                  <c:v>12.437279152393408</c:v>
                </c:pt>
                <c:pt idx="432">
                  <c:v>12.584423402900695</c:v>
                </c:pt>
                <c:pt idx="433">
                  <c:v>12.733339918231206</c:v>
                </c:pt>
                <c:pt idx="434">
                  <c:v>12.883989148083066</c:v>
                </c:pt>
                <c:pt idx="435">
                  <c:v>13.036331077693472</c:v>
                </c:pt>
                <c:pt idx="436">
                  <c:v>13.190325331676117</c:v>
                </c:pt>
                <c:pt idx="437">
                  <c:v>13.345931274357618</c:v>
                </c:pt>
                <c:pt idx="438">
                  <c:v>13.503108106257173</c:v>
                </c:pt>
                <c:pt idx="439">
                  <c:v>13.661814956406694</c:v>
                </c:pt>
                <c:pt idx="440">
                  <c:v>13.822010970258557</c:v>
                </c:pt>
                <c:pt idx="441">
                  <c:v>13.983655392981362</c:v>
                </c:pt>
                <c:pt idx="442">
                  <c:v>14.146707647989782</c:v>
                </c:pt>
                <c:pt idx="443">
                  <c:v>14.311127410601983</c:v>
                </c:pt>
                <c:pt idx="444">
                  <c:v>14.476874676760916</c:v>
                </c:pt>
                <c:pt idx="445">
                  <c:v>14.643909826795372</c:v>
                </c:pt>
                <c:pt idx="446">
                  <c:v>14.812193684233559</c:v>
                </c:pt>
                <c:pt idx="447">
                  <c:v>14.981687569716467</c:v>
                </c:pt>
                <c:pt idx="448">
                  <c:v>15.152353350086315</c:v>
                </c:pt>
                <c:pt idx="449">
                  <c:v>15.324153482753779</c:v>
                </c:pt>
                <c:pt idx="450">
                  <c:v>15.497051055469782</c:v>
                </c:pt>
                <c:pt idx="451">
                  <c:v>15.671009821648635</c:v>
                </c:pt>
                <c:pt idx="452">
                  <c:v>15.845994231403562</c:v>
                </c:pt>
                <c:pt idx="453">
                  <c:v>16.021969458473883</c:v>
                </c:pt>
                <c:pt idx="454">
                  <c:v>16.198901423228349</c:v>
                </c:pt>
                <c:pt idx="455">
                  <c:v>16.376756811943022</c:v>
                </c:pt>
                <c:pt idx="456">
                  <c:v>16.555503092552119</c:v>
                </c:pt>
                <c:pt idx="457">
                  <c:v>16.735108527080733</c:v>
                </c:pt>
                <c:pt idx="458">
                  <c:v>16.915542180962198</c:v>
                </c:pt>
                <c:pt idx="459">
                  <c:v>17.096773929449306</c:v>
                </c:pt>
                <c:pt idx="460">
                  <c:v>17.27877446132258</c:v>
                </c:pt>
                <c:pt idx="461">
                  <c:v>17.461515280097466</c:v>
                </c:pt>
                <c:pt idx="462">
                  <c:v>17.644968702927585</c:v>
                </c:pt>
                <c:pt idx="463">
                  <c:v>17.829107857394966</c:v>
                </c:pt>
                <c:pt idx="464">
                  <c:v>18.013906676374127</c:v>
                </c:pt>
                <c:pt idx="465">
                  <c:v>18.199339891145822</c:v>
                </c:pt>
                <c:pt idx="466">
                  <c:v>18.385383022934853</c:v>
                </c:pt>
                <c:pt idx="467">
                  <c:v>18.572012373031583</c:v>
                </c:pt>
                <c:pt idx="468">
                  <c:v>18.759205011654196</c:v>
                </c:pt>
                <c:pt idx="469">
                  <c:v>18.946938765698214</c:v>
                </c:pt>
                <c:pt idx="470">
                  <c:v>19.1351922055096</c:v>
                </c:pt>
                <c:pt idx="471">
                  <c:v>19.323944630813877</c:v>
                </c:pt>
                <c:pt idx="472">
                  <c:v>19.513176055919438</c:v>
                </c:pt>
                <c:pt idx="473">
                  <c:v>19.7028671943117</c:v>
                </c:pt>
                <c:pt idx="474">
                  <c:v>19.892999442739189</c:v>
                </c:pt>
                <c:pt idx="475">
                  <c:v>20.083554864892289</c:v>
                </c:pt>
                <c:pt idx="476">
                  <c:v>20.274516174762269</c:v>
                </c:pt>
                <c:pt idx="477">
                  <c:v>20.465866719763419</c:v>
                </c:pt>
                <c:pt idx="478">
                  <c:v>20.657590463693687</c:v>
                </c:pt>
                <c:pt idx="479">
                  <c:v>20.849671969602394</c:v>
                </c:pt>
                <c:pt idx="480">
                  <c:v>21.042096382628635</c:v>
                </c:pt>
                <c:pt idx="481">
                  <c:v>21.234849412864101</c:v>
                </c:pt>
                <c:pt idx="482">
                  <c:v>21.427917318294092</c:v>
                </c:pt>
                <c:pt idx="483">
                  <c:v>21.621286887860379</c:v>
                </c:pt>
                <c:pt idx="484">
                  <c:v>21.814945424686812</c:v>
                </c:pt>
                <c:pt idx="485">
                  <c:v>22.008880729504305</c:v>
                </c:pt>
                <c:pt idx="486">
                  <c:v>22.203081084305229</c:v>
                </c:pt>
                <c:pt idx="487">
                  <c:v>22.397535236256591</c:v>
                </c:pt>
                <c:pt idx="488">
                  <c:v>22.59223238189438</c:v>
                </c:pt>
                <c:pt idx="489">
                  <c:v>22.787162151620649</c:v>
                </c:pt>
                <c:pt idx="490">
                  <c:v>22.982314594519284</c:v>
                </c:pt>
                <c:pt idx="491">
                  <c:v>23.177680163506423</c:v>
                </c:pt>
                <c:pt idx="492">
                  <c:v>23.373249700826303</c:v>
                </c:pt>
                <c:pt idx="493">
                  <c:v>23.569014423901553</c:v>
                </c:pt>
                <c:pt idx="494">
                  <c:v>23.764965911546408</c:v>
                </c:pt>
                <c:pt idx="495">
                  <c:v>23.961096090546469</c:v>
                </c:pt>
                <c:pt idx="496">
                  <c:v>24.157397222609667</c:v>
                </c:pt>
                <c:pt idx="497">
                  <c:v>24.353861891689313</c:v>
                </c:pt>
                <c:pt idx="498">
                  <c:v>24.550482991679846</c:v>
                </c:pt>
                <c:pt idx="499">
                  <c:v>24.747253714484604</c:v>
                </c:pt>
                <c:pt idx="500">
                  <c:v>24.944167538452668</c:v>
                </c:pt>
                <c:pt idx="501">
                  <c:v>25.141218217182676</c:v>
                </c:pt>
                <c:pt idx="502">
                  <c:v>25.338399768688909</c:v>
                </c:pt>
                <c:pt idx="503">
                  <c:v>25.535706464924534</c:v>
                </c:pt>
                <c:pt idx="504">
                  <c:v>25.733132821657708</c:v>
                </c:pt>
                <c:pt idx="505">
                  <c:v>25.930673588692969</c:v>
                </c:pt>
                <c:pt idx="506">
                  <c:v>26.128323740432677</c:v>
                </c:pt>
                <c:pt idx="507">
                  <c:v>26.326078466770131</c:v>
                </c:pt>
                <c:pt idx="508">
                  <c:v>26.523933164308943</c:v>
                </c:pt>
                <c:pt idx="509">
                  <c:v>26.72188342789887</c:v>
                </c:pt>
                <c:pt idx="510">
                  <c:v>26.919925042481911</c:v>
                </c:pt>
                <c:pt idx="511">
                  <c:v>27.118053975239867</c:v>
                </c:pt>
                <c:pt idx="512">
                  <c:v>27.316266368035492</c:v>
                </c:pt>
                <c:pt idx="513">
                  <c:v>27.514558530139066</c:v>
                </c:pt>
                <c:pt idx="514">
                  <c:v>27.712926931232261</c:v>
                </c:pt>
                <c:pt idx="515">
                  <c:v>27.911368194680264</c:v>
                </c:pt>
                <c:pt idx="516">
                  <c:v>28.109879091065224</c:v>
                </c:pt>
                <c:pt idx="517">
                  <c:v>28.308456531971959</c:v>
                </c:pt>
                <c:pt idx="518">
                  <c:v>28.507097564017695</c:v>
                </c:pt>
                <c:pt idx="519">
                  <c:v>28.705799363118704</c:v>
                </c:pt>
                <c:pt idx="520">
                  <c:v>28.904559228985377</c:v>
                </c:pt>
                <c:pt idx="521">
                  <c:v>29.103374579837467</c:v>
                </c:pt>
                <c:pt idx="522">
                  <c:v>29.302242947332786</c:v>
                </c:pt>
                <c:pt idx="523">
                  <c:v>29.501161971701663</c:v>
                </c:pt>
                <c:pt idx="524">
                  <c:v>29.700129397079614</c:v>
                </c:pt>
                <c:pt idx="525">
                  <c:v>29.89914306703071</c:v>
                </c:pt>
                <c:pt idx="526">
                  <c:v>30.098200920255692</c:v>
                </c:pt>
                <c:pt idx="527">
                  <c:v>30.297300986477332</c:v>
                </c:pt>
                <c:pt idx="528">
                  <c:v>30.496441382495576</c:v>
                </c:pt>
                <c:pt idx="529">
                  <c:v>30.69562030840881</c:v>
                </c:pt>
                <c:pt idx="530">
                  <c:v>30.894836043991539</c:v>
                </c:pt>
                <c:pt idx="531">
                  <c:v>31.09408694522476</c:v>
                </c:pt>
                <c:pt idx="532">
                  <c:v>31.293371440971768</c:v>
                </c:pt>
                <c:pt idx="533">
                  <c:v>31.492688029795616</c:v>
                </c:pt>
                <c:pt idx="534">
                  <c:v>31.692035276910037</c:v>
                </c:pt>
                <c:pt idx="535">
                  <c:v>31.891411811260689</c:v>
                </c:pt>
                <c:pt idx="536">
                  <c:v>32.090816322730284</c:v>
                </c:pt>
                <c:pt idx="537">
                  <c:v>32.29024755946358</c:v>
                </c:pt>
                <c:pt idx="538">
                  <c:v>32.489704325306398</c:v>
                </c:pt>
                <c:pt idx="539">
                  <c:v>32.689185477354997</c:v>
                </c:pt>
                <c:pt idx="540">
                  <c:v>32.888689923610364</c:v>
                </c:pt>
                <c:pt idx="541">
                  <c:v>33.088216620733974</c:v>
                </c:pt>
              </c:numCache>
            </c:numRef>
          </c:yVal>
          <c:smooth val="1"/>
          <c:extLst>
            <c:ext xmlns:c16="http://schemas.microsoft.com/office/drawing/2014/chart" uri="{C3380CC4-5D6E-409C-BE32-E72D297353CC}">
              <c16:uniqueId val="{00000000-F7C0-4EEE-87E3-EE720F12A204}"/>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-14.061682223227931</c:v>
                </c:pt>
                <c:pt idx="1">
                  <c:v>-14.375274946537377</c:v>
                </c:pt>
                <c:pt idx="2">
                  <c:v>-14.695227081113433</c:v>
                </c:pt>
                <c:pt idx="3">
                  <c:v>-15.021625171679657</c:v>
                </c:pt>
                <c:pt idx="4">
                  <c:v>-15.354554046189527</c:v>
                </c:pt>
                <c:pt idx="5">
                  <c:v>-15.694096581040505</c:v>
                </c:pt>
                <c:pt idx="6">
                  <c:v>-16.040333454162823</c:v>
                </c:pt>
                <c:pt idx="7">
                  <c:v>-16.39334288588249</c:v>
                </c:pt>
                <c:pt idx="8">
                  <c:v>-16.753200367517699</c:v>
                </c:pt>
                <c:pt idx="9">
                  <c:v>-17.119978377734203</c:v>
                </c:pt>
                <c:pt idx="10">
                  <c:v>-17.493746086758438</c:v>
                </c:pt>
                <c:pt idx="11">
                  <c:v>-17.874569048630345</c:v>
                </c:pt>
                <c:pt idx="12">
                  <c:v>-18.262508881767275</c:v>
                </c:pt>
                <c:pt idx="13">
                  <c:v>-18.657622938209368</c:v>
                </c:pt>
                <c:pt idx="14">
                  <c:v>-19.05996396202616</c:v>
                </c:pt>
                <c:pt idx="15">
                  <c:v>-19.469579737478078</c:v>
                </c:pt>
                <c:pt idx="16">
                  <c:v>-19.886512727652249</c:v>
                </c:pt>
                <c:pt idx="17">
                  <c:v>-20.310799704424749</c:v>
                </c:pt>
                <c:pt idx="18">
                  <c:v>-20.742471370744088</c:v>
                </c:pt>
                <c:pt idx="19">
                  <c:v>-21.181551976374539</c:v>
                </c:pt>
                <c:pt idx="20">
                  <c:v>-21.628058928395344</c:v>
                </c:pt>
                <c:pt idx="21">
                  <c:v>-22.082002397913929</c:v>
                </c:pt>
                <c:pt idx="22">
                  <c:v>-22.543384924606261</c:v>
                </c:pt>
                <c:pt idx="23">
                  <c:v>-23.012201020878948</c:v>
                </c:pt>
                <c:pt idx="24">
                  <c:v>-23.488436777598842</c:v>
                </c:pt>
                <c:pt idx="25">
                  <c:v>-23.972069473520122</c:v>
                </c:pt>
                <c:pt idx="26">
                  <c:v>-24.463067190687319</c:v>
                </c:pt>
                <c:pt idx="27">
                  <c:v>-24.961388438265526</c:v>
                </c:pt>
                <c:pt idx="28">
                  <c:v>-25.466981787390424</c:v>
                </c:pt>
                <c:pt idx="29">
                  <c:v>-25.979785519776769</c:v>
                </c:pt>
                <c:pt idx="30">
                  <c:v>-26.499727292946346</c:v>
                </c:pt>
                <c:pt idx="31">
                  <c:v>-27.026723825050755</c:v>
                </c:pt>
                <c:pt idx="32">
                  <c:v>-27.560680602347247</c:v>
                </c:pt>
                <c:pt idx="33">
                  <c:v>-28.101491612457465</c:v>
                </c:pt>
                <c:pt idx="34">
                  <c:v>-28.649039106574769</c:v>
                </c:pt>
                <c:pt idx="35">
                  <c:v>-29.203193393791945</c:v>
                </c:pt>
                <c:pt idx="36">
                  <c:v>-29.763812670703111</c:v>
                </c:pt>
                <c:pt idx="37">
                  <c:v>-30.330742889363606</c:v>
                </c:pt>
                <c:pt idx="38">
                  <c:v>-30.90381766660219</c:v>
                </c:pt>
                <c:pt idx="39">
                  <c:v>-31.48285823753012</c:v>
                </c:pt>
                <c:pt idx="40">
                  <c:v>-32.067673455916058</c:v>
                </c:pt>
                <c:pt idx="41">
                  <c:v>-32.658059843870596</c:v>
                </c:pt>
                <c:pt idx="42">
                  <c:v>-33.253801693006629</c:v>
                </c:pt>
                <c:pt idx="43">
                  <c:v>-33.854671218942549</c:v>
                </c:pt>
                <c:pt idx="44">
                  <c:v>-34.460428770652292</c:v>
                </c:pt>
                <c:pt idx="45">
                  <c:v>-35.070823095778294</c:v>
                </c:pt>
                <c:pt idx="46">
                  <c:v>-35.68559166259093</c:v>
                </c:pt>
                <c:pt idx="47">
                  <c:v>-36.304461038821344</c:v>
                </c:pt>
                <c:pt idx="48">
                  <c:v>-36.92714732710369</c:v>
                </c:pt>
                <c:pt idx="49">
                  <c:v>-37.553356656249697</c:v>
                </c:pt>
                <c:pt idx="50">
                  <c:v>-38.182785727062267</c:v>
                </c:pt>
                <c:pt idx="51">
                  <c:v>-38.815122410851636</c:v>
                </c:pt>
                <c:pt idx="52">
                  <c:v>-39.4500463982912</c:v>
                </c:pt>
                <c:pt idx="53">
                  <c:v>-40.08722989572847</c:v>
                </c:pt>
                <c:pt idx="54">
                  <c:v>-40.726338365546276</c:v>
                </c:pt>
                <c:pt idx="55">
                  <c:v>-41.367031306702238</c:v>
                </c:pt>
                <c:pt idx="56">
                  <c:v>-42.008963071110742</c:v>
                </c:pt>
                <c:pt idx="57">
                  <c:v>-42.651783711132452</c:v>
                </c:pt>
                <c:pt idx="58">
                  <c:v>-43.295139853069308</c:v>
                </c:pt>
                <c:pt idx="59">
                  <c:v>-43.938675591262005</c:v>
                </c:pt>
                <c:pt idx="60">
                  <c:v>-44.582033397141373</c:v>
                </c:pt>
                <c:pt idx="61">
                  <c:v>-45.224855037403437</c:v>
                </c:pt>
                <c:pt idx="62">
                  <c:v>-45.866782495370728</c:v>
                </c:pt>
                <c:pt idx="63">
                  <c:v>-46.50745888956444</c:v>
                </c:pt>
                <c:pt idx="64">
                  <c:v>-47.146529383534961</c:v>
                </c:pt>
                <c:pt idx="65">
                  <c:v>-47.783642081116163</c:v>
                </c:pt>
                <c:pt idx="66">
                  <c:v>-48.418448901426416</c:v>
                </c:pt>
                <c:pt idx="67">
                  <c:v>-49.050606428190015</c:v>
                </c:pt>
                <c:pt idx="68">
                  <c:v>-49.679776728241485</c:v>
                </c:pt>
                <c:pt idx="69">
                  <c:v>-50.305628134438365</c:v>
                </c:pt>
                <c:pt idx="70">
                  <c:v>-50.927835988607754</c:v>
                </c:pt>
                <c:pt idx="71">
                  <c:v>-51.546083340600326</c:v>
                </c:pt>
                <c:pt idx="72">
                  <c:v>-52.160061600003175</c:v>
                </c:pt>
                <c:pt idx="73">
                  <c:v>-52.769471137572232</c:v>
                </c:pt>
                <c:pt idx="74">
                  <c:v>-53.374021833965315</c:v>
                </c:pt>
                <c:pt idx="75">
                  <c:v>-53.973433573889857</c:v>
                </c:pt>
                <c:pt idx="76">
                  <c:v>-54.567436684314089</c:v>
                </c:pt>
                <c:pt idx="77">
                  <c:v>-55.155772315913019</c:v>
                </c:pt>
                <c:pt idx="78">
                  <c:v>-55.738192767436288</c:v>
                </c:pt>
                <c:pt idx="79">
                  <c:v>-56.314461753171052</c:v>
                </c:pt>
                <c:pt idx="80">
                  <c:v>-56.884354614143135</c:v>
                </c:pt>
                <c:pt idx="81">
                  <c:v>-57.447658474125937</c:v>
                </c:pt>
                <c:pt idx="82">
                  <c:v>-58.004172341925937</c:v>
                </c:pt>
                <c:pt idx="83">
                  <c:v>-58.553707161773261</c:v>
                </c:pt>
                <c:pt idx="84">
                  <c:v>-59.096085813955227</c:v>
                </c:pt>
                <c:pt idx="85">
                  <c:v>-59.631143068111307</c:v>
                </c:pt>
                <c:pt idx="86">
                  <c:v>-60.158725491833707</c:v>
                </c:pt>
                <c:pt idx="87">
                  <c:v>-60.678691317403661</c:v>
                </c:pt>
                <c:pt idx="88">
                  <c:v>-61.190910269640462</c:v>
                </c:pt>
                <c:pt idx="89">
                  <c:v>-61.695263357942068</c:v>
                </c:pt>
                <c:pt idx="90">
                  <c:v>-62.191642635661147</c:v>
                </c:pt>
                <c:pt idx="91">
                  <c:v>-62.679950929988067</c:v>
                </c:pt>
                <c:pt idx="92">
                  <c:v>-63.16010154550797</c:v>
                </c:pt>
                <c:pt idx="93">
                  <c:v>-63.632017944562605</c:v>
                </c:pt>
                <c:pt idx="94">
                  <c:v>-64.095633407485678</c:v>
                </c:pt>
                <c:pt idx="95">
                  <c:v>-64.550890675691576</c:v>
                </c:pt>
                <c:pt idx="96">
                  <c:v>-64.997741580492189</c:v>
                </c:pt>
                <c:pt idx="97">
                  <c:v>-65.436146660388744</c:v>
                </c:pt>
                <c:pt idx="98">
                  <c:v>-65.8660747694517</c:v>
                </c:pt>
                <c:pt idx="99">
                  <c:v>-66.287502679243801</c:v>
                </c:pt>
                <c:pt idx="100">
                  <c:v>-66.700414676591393</c:v>
                </c:pt>
                <c:pt idx="101">
                  <c:v>-67.104802159339172</c:v>
                </c:pt>
                <c:pt idx="102">
                  <c:v>-67.500663232059779</c:v>
                </c:pt>
                <c:pt idx="103">
                  <c:v>-67.888002303521333</c:v>
                </c:pt>
                <c:pt idx="104">
                  <c:v>-68.266829687545851</c:v>
                </c:pt>
                <c:pt idx="105">
                  <c:v>-68.637161208733005</c:v>
                </c:pt>
                <c:pt idx="106">
                  <c:v>-68.999017814358197</c:v>
                </c:pt>
                <c:pt idx="107">
                  <c:v>-69.35242519360132</c:v>
                </c:pt>
                <c:pt idx="108">
                  <c:v>-69.697413405115711</c:v>
                </c:pt>
                <c:pt idx="109">
                  <c:v>-70.034016513801404</c:v>
                </c:pt>
                <c:pt idx="110">
                  <c:v>-70.362272237518454</c:v>
                </c:pt>
                <c:pt idx="111">
                  <c:v>-70.682221604346736</c:v>
                </c:pt>
                <c:pt idx="112">
                  <c:v>-70.993908620883857</c:v>
                </c:pt>
                <c:pt idx="113">
                  <c:v>-71.297379951964373</c:v>
                </c:pt>
                <c:pt idx="114">
                  <c:v>-71.592684612084724</c:v>
                </c:pt>
                <c:pt idx="115">
                  <c:v>-71.87987366872504</c:v>
                </c:pt>
                <c:pt idx="116">
                  <c:v>-72.158999957680194</c:v>
                </c:pt>
                <c:pt idx="117">
                  <c:v>-72.430117810435547</c:v>
                </c:pt>
                <c:pt idx="118">
                  <c:v>-72.693282793556151</c:v>
                </c:pt>
                <c:pt idx="119">
                  <c:v>-72.948551460002321</c:v>
                </c:pt>
                <c:pt idx="120">
                  <c:v>-73.195981112228949</c:v>
                </c:pt>
                <c:pt idx="121">
                  <c:v>-73.43562957688367</c:v>
                </c:pt>
                <c:pt idx="122">
                  <c:v>-73.667554990879182</c:v>
                </c:pt>
                <c:pt idx="123">
                  <c:v>-73.891815598582284</c:v>
                </c:pt>
                <c:pt idx="124">
                  <c:v>-74.108469559834845</c:v>
                </c:pt>
                <c:pt idx="125">
                  <c:v>-74.317574768499981</c:v>
                </c:pt>
                <c:pt idx="126">
                  <c:v>-74.519188681209528</c:v>
                </c:pt>
                <c:pt idx="127">
                  <c:v>-74.713368155972049</c:v>
                </c:pt>
                <c:pt idx="128">
                  <c:v>-74.900169300296653</c:v>
                </c:pt>
                <c:pt idx="129">
                  <c:v>-75.079647328476852</c:v>
                </c:pt>
                <c:pt idx="130">
                  <c:v>-75.251856427676913</c:v>
                </c:pt>
                <c:pt idx="131">
                  <c:v>-75.416849632464547</c:v>
                </c:pt>
                <c:pt idx="132">
                  <c:v>-75.574678707432597</c:v>
                </c:pt>
                <c:pt idx="133">
                  <c:v>-75.725394037560804</c:v>
                </c:pt>
                <c:pt idx="134">
                  <c:v>-75.869044525969898</c:v>
                </c:pt>
                <c:pt idx="135">
                  <c:v>-76.005677498733462</c:v>
                </c:pt>
                <c:pt idx="136">
                  <c:v>-76.135338616417741</c:v>
                </c:pt>
                <c:pt idx="137">
                  <c:v>-76.258071792033419</c:v>
                </c:pt>
                <c:pt idx="138">
                  <c:v>-76.373919115092932</c:v>
                </c:pt>
                <c:pt idx="139">
                  <c:v>-76.482920781480033</c:v>
                </c:pt>
                <c:pt idx="140">
                  <c:v>-76.585115028852698</c:v>
                </c:pt>
                <c:pt idx="141">
                  <c:v>-76.680538077312548</c:v>
                </c:pt>
                <c:pt idx="142">
                  <c:v>-76.769224075089355</c:v>
                </c:pt>
                <c:pt idx="143">
                  <c:v>-76.851205049004463</c:v>
                </c:pt>
                <c:pt idx="144">
                  <c:v>-76.926510859491415</c:v>
                </c:pt>
                <c:pt idx="145">
                  <c:v>-76.995169159967404</c:v>
                </c:pt>
                <c:pt idx="146">
                  <c:v>-77.057205360366453</c:v>
                </c:pt>
                <c:pt idx="147">
                  <c:v>-77.112642594657899</c:v>
                </c:pt>
                <c:pt idx="148">
                  <c:v>-77.161501692193568</c:v>
                </c:pt>
                <c:pt idx="149">
                  <c:v>-77.203801152739686</c:v>
                </c:pt>
                <c:pt idx="150">
                  <c:v>-77.239557125067336</c:v>
                </c:pt>
                <c:pt idx="151">
                  <c:v>-77.268783388991679</c:v>
                </c:pt>
                <c:pt idx="152">
                  <c:v>-77.291491340763812</c:v>
                </c:pt>
                <c:pt idx="153">
                  <c:v>-77.30768998173869</c:v>
                </c:pt>
                <c:pt idx="154">
                  <c:v>-77.317385910255908</c:v>
                </c:pt>
                <c:pt idx="155">
                  <c:v>-77.320583316686921</c:v>
                </c:pt>
                <c:pt idx="156">
                  <c:v>-77.317283981619283</c:v>
                </c:pt>
                <c:pt idx="157">
                  <c:v>-77.307487277162537</c:v>
                </c:pt>
                <c:pt idx="158">
                  <c:v>-77.291190171379156</c:v>
                </c:pt>
                <c:pt idx="159">
                  <c:v>-77.268387235857332</c:v>
                </c:pt>
                <c:pt idx="160">
                  <c:v>-77.239070656459674</c:v>
                </c:pt>
                <c:pt idx="161">
                  <c:v>-77.203230247298151</c:v>
                </c:pt>
                <c:pt idx="162">
                  <c:v>-77.160853468001292</c:v>
                </c:pt>
                <c:pt idx="163">
                  <c:v>-77.111925444356245</c:v>
                </c:pt>
                <c:pt idx="164">
                  <c:v>-77.056428992422056</c:v>
                </c:pt>
                <c:pt idx="165">
                  <c:v>-76.994344646231056</c:v>
                </c:pt>
                <c:pt idx="166">
                  <c:v>-76.925650689206975</c:v>
                </c:pt>
                <c:pt idx="167">
                  <c:v>-76.850323189446229</c:v>
                </c:pt>
                <c:pt idx="168">
                  <c:v>-76.76833603902557</c:v>
                </c:pt>
                <c:pt idx="169">
                  <c:v>-76.679660997514119</c:v>
                </c:pt>
                <c:pt idx="170">
                  <c:v>-76.584267739882705</c:v>
                </c:pt>
                <c:pt idx="171">
                  <c:v>-76.48212390902215</c:v>
                </c:pt>
                <c:pt idx="172">
                  <c:v>-76.373195173094032</c:v>
                </c:pt>
                <c:pt idx="173">
                  <c:v>-76.257445287955292</c:v>
                </c:pt>
                <c:pt idx="174">
                  <c:v>-76.134836164910396</c:v>
                </c:pt>
                <c:pt idx="175">
                  <c:v>-76.005327944062799</c:v>
                </c:pt>
                <c:pt idx="176">
                  <c:v>-75.868879073546324</c:v>
                </c:pt>
                <c:pt idx="177">
                  <c:v>-75.725446394934892</c:v>
                </c:pt>
                <c:pt idx="178">
                  <c:v>-75.574985235139039</c:v>
                </c:pt>
                <c:pt idx="179">
                  <c:v>-75.417449505108863</c:v>
                </c:pt>
                <c:pt idx="180">
                  <c:v>-75.252791805674974</c:v>
                </c:pt>
                <c:pt idx="181">
                  <c:v>-75.080963540866662</c:v>
                </c:pt>
                <c:pt idx="182">
                  <c:v>-74.901915039055666</c:v>
                </c:pt>
                <c:pt idx="183">
                  <c:v>-74.71559568227751</c:v>
                </c:pt>
                <c:pt idx="184">
                  <c:v>-74.52195404408873</c:v>
                </c:pt>
                <c:pt idx="185">
                  <c:v>-74.32093803631922</c:v>
                </c:pt>
                <c:pt idx="186">
                  <c:v>-74.112495065076018</c:v>
                </c:pt>
                <c:pt idx="187">
                  <c:v>-73.896572196356146</c:v>
                </c:pt>
                <c:pt idx="188">
                  <c:v>-73.673116331614253</c:v>
                </c:pt>
                <c:pt idx="189">
                  <c:v>-73.442074393622349</c:v>
                </c:pt>
                <c:pt idx="190">
                  <c:v>-73.203393522947536</c:v>
                </c:pt>
                <c:pt idx="191">
                  <c:v>-72.957021285350322</c:v>
                </c:pt>
                <c:pt idx="192">
                  <c:v>-72.702905890385935</c:v>
                </c:pt>
                <c:pt idx="193">
                  <c:v>-72.440996421464192</c:v>
                </c:pt>
                <c:pt idx="194">
                  <c:v>-72.171243077585416</c:v>
                </c:pt>
                <c:pt idx="195">
                  <c:v>-71.893597426934008</c:v>
                </c:pt>
                <c:pt idx="196">
                  <c:v>-71.608012672464767</c:v>
                </c:pt>
                <c:pt idx="197">
                  <c:v>-71.314443929561534</c:v>
                </c:pt>
                <c:pt idx="198">
                  <c:v>-71.012848515791646</c:v>
                </c:pt>
                <c:pt idx="199">
                  <c:v>-70.703186252706715</c:v>
                </c:pt>
                <c:pt idx="200">
                  <c:v>-70.38541977957253</c:v>
                </c:pt>
                <c:pt idx="201">
                  <c:v>-70.05951487881795</c:v>
                </c:pt>
                <c:pt idx="202">
                  <c:v>-69.725440812907507</c:v>
                </c:pt>
                <c:pt idx="203">
                  <c:v>-69.383170672238251</c:v>
                </c:pt>
                <c:pt idx="204">
                  <c:v>-69.032681733552593</c:v>
                </c:pt>
                <c:pt idx="205">
                  <c:v>-68.673955828240707</c:v>
                </c:pt>
                <c:pt idx="206">
                  <c:v>-68.306979719780131</c:v>
                </c:pt>
                <c:pt idx="207">
                  <c:v>-67.931745489424515</c:v>
                </c:pt>
                <c:pt idx="208">
                  <c:v>-67.548250929111518</c:v>
                </c:pt>
                <c:pt idx="209">
                  <c:v>-67.15649994040966</c:v>
                </c:pt>
                <c:pt idx="210">
                  <c:v>-66.756502938170613</c:v>
                </c:pt>
                <c:pt idx="211">
                  <c:v>-66.348277257389142</c:v>
                </c:pt>
                <c:pt idx="212">
                  <c:v>-65.931847561610141</c:v>
                </c:pt>
                <c:pt idx="213">
                  <c:v>-65.507246251054838</c:v>
                </c:pt>
                <c:pt idx="214">
                  <c:v>-65.074513868470561</c:v>
                </c:pt>
                <c:pt idx="215">
                  <c:v>-64.633699500540274</c:v>
                </c:pt>
                <c:pt idx="216">
                  <c:v>-64.184861172526425</c:v>
                </c:pt>
                <c:pt idx="217">
                  <c:v>-63.728066233667114</c:v>
                </c:pt>
                <c:pt idx="218">
                  <c:v>-63.263391730692234</c:v>
                </c:pt>
                <c:pt idx="219">
                  <c:v>-62.790924766691866</c:v>
                </c:pt>
                <c:pt idx="220">
                  <c:v>-62.310762842446501</c:v>
                </c:pt>
                <c:pt idx="221">
                  <c:v>-61.823014177224316</c:v>
                </c:pt>
                <c:pt idx="222">
                  <c:v>-61.327798005968539</c:v>
                </c:pt>
                <c:pt idx="223">
                  <c:v>-60.82524484973694</c:v>
                </c:pt>
                <c:pt idx="224">
                  <c:v>-60.315496756226842</c:v>
                </c:pt>
                <c:pt idx="225">
                  <c:v>-59.79870750721949</c:v>
                </c:pt>
                <c:pt idx="226">
                  <c:v>-59.275042789806513</c:v>
                </c:pt>
                <c:pt idx="227">
                  <c:v>-58.744680328342291</c:v>
                </c:pt>
                <c:pt idx="228">
                  <c:v>-58.207809974164938</c:v>
                </c:pt>
                <c:pt idx="229">
                  <c:v>-57.664633750285013</c:v>
                </c:pt>
                <c:pt idx="230">
                  <c:v>-57.115365848440312</c:v>
                </c:pt>
                <c:pt idx="231">
                  <c:v>-56.56023257613586</c:v>
                </c:pt>
                <c:pt idx="232">
                  <c:v>-55.999472251591179</c:v>
                </c:pt>
                <c:pt idx="233">
                  <c:v>-55.433335044817674</c:v>
                </c:pt>
                <c:pt idx="234">
                  <c:v>-54.862082763427622</c:v>
                </c:pt>
                <c:pt idx="235">
                  <c:v>-54.285988582174625</c:v>
                </c:pt>
                <c:pt idx="236">
                  <c:v>-53.705336715661467</c:v>
                </c:pt>
                <c:pt idx="237">
                  <c:v>-53.120422034121177</c:v>
                </c:pt>
                <c:pt idx="238">
                  <c:v>-52.531549622674461</c:v>
                </c:pt>
                <c:pt idx="239">
                  <c:v>-51.93903428497584</c:v>
                </c:pt>
                <c:pt idx="240">
                  <c:v>-51.34319999269654</c:v>
                </c:pt>
                <c:pt idx="241">
                  <c:v>-50.744379282813426</c:v>
                </c:pt>
                <c:pt idx="242">
                  <c:v>-50.142912605219209</c:v>
                </c:pt>
                <c:pt idx="243">
                  <c:v>-49.539147623679199</c:v>
                </c:pt>
                <c:pt idx="244">
                  <c:v>-48.933438473665717</c:v>
                </c:pt>
                <c:pt idx="245">
                  <c:v>-48.326144981076702</c:v>
                </c:pt>
                <c:pt idx="246">
                  <c:v>-47.717631846285848</c:v>
                </c:pt>
                <c:pt idx="247">
                  <c:v>-47.108267798365347</c:v>
                </c:pt>
                <c:pt idx="248">
                  <c:v>-46.498424724670059</c:v>
                </c:pt>
                <c:pt idx="249">
                  <c:v>-45.88847678126406</c:v>
                </c:pt>
                <c:pt idx="250">
                  <c:v>-45.278799489892158</c:v>
                </c:pt>
                <c:pt idx="251">
                  <c:v>-44.669768827366106</c:v>
                </c:pt>
                <c:pt idx="252">
                  <c:v>-44.061760313324029</c:v>
                </c:pt>
                <c:pt idx="253">
                  <c:v>-43.455148102341653</c:v>
                </c:pt>
                <c:pt idx="254">
                  <c:v>-42.850304086322559</c:v>
                </c:pt>
                <c:pt idx="255">
                  <c:v>-42.247597012974886</c:v>
                </c:pt>
                <c:pt idx="256">
                  <c:v>-41.647391625991474</c:v>
                </c:pt>
                <c:pt idx="257">
                  <c:v>-41.050047832289266</c:v>
                </c:pt>
                <c:pt idx="258">
                  <c:v>-40.455919901357433</c:v>
                </c:pt>
                <c:pt idx="259">
                  <c:v>-39.865355701392886</c:v>
                </c:pt>
                <c:pt idx="260">
                  <c:v>-39.278695976478737</c:v>
                </c:pt>
                <c:pt idx="261">
                  <c:v>-38.696273668611951</c:v>
                </c:pt>
                <c:pt idx="262">
                  <c:v>-38.118413287901681</c:v>
                </c:pt>
                <c:pt idx="263">
                  <c:v>-37.545430333733385</c:v>
                </c:pt>
                <c:pt idx="264">
                  <c:v>-36.977630769187314</c:v>
                </c:pt>
                <c:pt idx="265">
                  <c:v>-36.415310550447728</c:v>
                </c:pt>
                <c:pt idx="266">
                  <c:v>-35.858755212421421</c:v>
                </c:pt>
                <c:pt idx="267">
                  <c:v>-35.308239511251472</c:v>
                </c:pt>
                <c:pt idx="268">
                  <c:v>-34.764027123908292</c:v>
                </c:pt>
                <c:pt idx="269">
                  <c:v>-34.226370404561948</c:v>
                </c:pt>
                <c:pt idx="270">
                  <c:v>-33.695510196966268</c:v>
                </c:pt>
                <c:pt idx="271">
                  <c:v>-33.171675701682034</c:v>
                </c:pt>
                <c:pt idx="272">
                  <c:v>-32.655084396567354</c:v>
                </c:pt>
                <c:pt idx="273">
                  <c:v>-32.145942008615187</c:v>
                </c:pt>
                <c:pt idx="274">
                  <c:v>-31.644442534924089</c:v>
                </c:pt>
                <c:pt idx="275">
                  <c:v>-31.150768310311861</c:v>
                </c:pt>
                <c:pt idx="276">
                  <c:v>-30.665090118874428</c:v>
                </c:pt>
                <c:pt idx="277">
                  <c:v>-30.187567346608379</c:v>
                </c:pt>
                <c:pt idx="278">
                  <c:v>-29.71834817208957</c:v>
                </c:pt>
                <c:pt idx="279">
                  <c:v>-29.257569792096291</c:v>
                </c:pt>
                <c:pt idx="280">
                  <c:v>-28.805358679022088</c:v>
                </c:pt>
                <c:pt idx="281">
                  <c:v>-28.361830866892412</c:v>
                </c:pt>
                <c:pt idx="282">
                  <c:v>-27.927092262819379</c:v>
                </c:pt>
                <c:pt idx="283">
                  <c:v>-27.501238980771813</c:v>
                </c:pt>
                <c:pt idx="284">
                  <c:v>-27.084357694594431</c:v>
                </c:pt>
                <c:pt idx="285">
                  <c:v>-26.676526007323481</c:v>
                </c:pt>
                <c:pt idx="286">
                  <c:v>-26.277812833934419</c:v>
                </c:pt>
                <c:pt idx="287">
                  <c:v>-25.888278794800854</c:v>
                </c:pt>
                <c:pt idx="288">
                  <c:v>-25.507976617279255</c:v>
                </c:pt>
                <c:pt idx="289">
                  <c:v>-25.136951542984278</c:v>
                </c:pt>
                <c:pt idx="290">
                  <c:v>-24.775241738478542</c:v>
                </c:pt>
                <c:pt idx="291">
                  <c:v>-24.422878707269255</c:v>
                </c:pt>
                <c:pt idx="292">
                  <c:v>-24.079887701160544</c:v>
                </c:pt>
                <c:pt idx="293">
                  <c:v>-23.746288129184457</c:v>
                </c:pt>
                <c:pt idx="294">
                  <c:v>-23.422093962496689</c:v>
                </c:pt>
                <c:pt idx="295">
                  <c:v>-23.107314133779731</c:v>
                </c:pt>
                <c:pt idx="296">
                  <c:v>-22.801952929859659</c:v>
                </c:pt>
                <c:pt idx="297">
                  <c:v>-22.506010376389277</c:v>
                </c:pt>
                <c:pt idx="298">
                  <c:v>-22.219482613594987</c:v>
                </c:pt>
                <c:pt idx="299">
                  <c:v>-21.942362262225682</c:v>
                </c:pt>
                <c:pt idx="300">
                  <c:v>-21.674638778962564</c:v>
                </c:pt>
                <c:pt idx="301">
                  <c:v>-21.41629880067838</c:v>
                </c:pt>
                <c:pt idx="302">
                  <c:v>-21.167326477038998</c:v>
                </c:pt>
                <c:pt idx="303">
                  <c:v>-20.927703791046213</c:v>
                </c:pt>
                <c:pt idx="304">
                  <c:v>-20.697410867213748</c:v>
                </c:pt>
                <c:pt idx="305">
                  <c:v>-20.476426267154011</c:v>
                </c:pt>
                <c:pt idx="306">
                  <c:v>-20.264727272427962</c:v>
                </c:pt>
                <c:pt idx="307">
                  <c:v>-20.06229015458241</c:v>
                </c:pt>
                <c:pt idx="308">
                  <c:v>-19.869090432354049</c:v>
                </c:pt>
                <c:pt idx="309">
                  <c:v>-19.68510311607794</c:v>
                </c:pt>
                <c:pt idx="310">
                  <c:v>-19.510302939378391</c:v>
                </c:pt>
                <c:pt idx="311">
                  <c:v>-19.344664578262162</c:v>
                </c:pt>
                <c:pt idx="312">
                  <c:v>-19.1881628577644</c:v>
                </c:pt>
                <c:pt idx="313">
                  <c:v>-19.040772946324203</c:v>
                </c:pt>
                <c:pt idx="314">
                  <c:v>-18.902470538086355</c:v>
                </c:pt>
                <c:pt idx="315">
                  <c:v>-18.773232023342494</c:v>
                </c:pt>
                <c:pt idx="316">
                  <c:v>-18.653034647334646</c:v>
                </c:pt>
                <c:pt idx="317">
                  <c:v>-18.541856657649166</c:v>
                </c:pt>
                <c:pt idx="318">
                  <c:v>-18.439677440433968</c:v>
                </c:pt>
                <c:pt idx="319">
                  <c:v>-18.346477645666774</c:v>
                </c:pt>
                <c:pt idx="320">
                  <c:v>-18.262239301701769</c:v>
                </c:pt>
                <c:pt idx="321">
                  <c:v>-18.186945919310045</c:v>
                </c:pt>
                <c:pt idx="322">
                  <c:v>-18.120582585422486</c:v>
                </c:pt>
                <c:pt idx="323">
                  <c:v>-18.063136046768488</c:v>
                </c:pt>
                <c:pt idx="324">
                  <c:v>-18.014594783591726</c:v>
                </c:pt>
                <c:pt idx="325">
                  <c:v>-17.974949073605451</c:v>
                </c:pt>
                <c:pt idx="326">
                  <c:v>-17.944191046333703</c:v>
                </c:pt>
                <c:pt idx="327">
                  <c:v>-17.922314727964977</c:v>
                </c:pt>
                <c:pt idx="328">
                  <c:v>-17.909316076823274</c:v>
                </c:pt>
                <c:pt idx="329">
                  <c:v>-17.905193009542348</c:v>
                </c:pt>
                <c:pt idx="330">
                  <c:v>-17.909945418007361</c:v>
                </c:pt>
                <c:pt idx="331">
                  <c:v>-17.923575177100641</c:v>
                </c:pt>
                <c:pt idx="332">
                  <c:v>-17.94608614327402</c:v>
                </c:pt>
                <c:pt idx="333">
                  <c:v>-17.97748414393962</c:v>
                </c:pt>
                <c:pt idx="334">
                  <c:v>-18.017776957651861</c:v>
                </c:pt>
                <c:pt idx="335">
                  <c:v>-18.066974285031247</c:v>
                </c:pt>
                <c:pt idx="336">
                  <c:v>-18.125087710356286</c:v>
                </c:pt>
                <c:pt idx="337">
                  <c:v>-18.192130653729578</c:v>
                </c:pt>
                <c:pt idx="338">
                  <c:v>-18.268118313703866</c:v>
                </c:pt>
                <c:pt idx="339">
                  <c:v>-18.353067600231014</c:v>
                </c:pt>
                <c:pt idx="340">
                  <c:v>-18.446997057782941</c:v>
                </c:pt>
                <c:pt idx="341">
                  <c:v>-18.549926778472308</c:v>
                </c:pt>
                <c:pt idx="342">
                  <c:v>-18.661878304986427</c:v>
                </c:pt>
                <c:pt idx="343">
                  <c:v>-18.782874523135707</c:v>
                </c:pt>
                <c:pt idx="344">
                  <c:v>-18.912939543803336</c:v>
                </c:pt>
                <c:pt idx="345">
                  <c:v>-19.052098574076744</c:v>
                </c:pt>
                <c:pt idx="346">
                  <c:v>-19.200377777334378</c:v>
                </c:pt>
                <c:pt idx="347">
                  <c:v>-19.357804122056017</c:v>
                </c:pt>
                <c:pt idx="348">
                  <c:v>-19.524405219128958</c:v>
                </c:pt>
                <c:pt idx="349">
                  <c:v>-19.700209147422104</c:v>
                </c:pt>
                <c:pt idx="350">
                  <c:v>-19.885244267412101</c:v>
                </c:pt>
                <c:pt idx="351">
                  <c:v>-20.079539022655002</c:v>
                </c:pt>
                <c:pt idx="352">
                  <c:v>-20.283121728917898</c:v>
                </c:pt>
                <c:pt idx="353">
                  <c:v>-20.496020350803445</c:v>
                </c:pt>
                <c:pt idx="354">
                  <c:v>-20.718262265735753</c:v>
                </c:pt>
                <c:pt idx="355">
                  <c:v>-20.949874015203381</c:v>
                </c:pt>
                <c:pt idx="356">
                  <c:v>-21.19088104320322</c:v>
                </c:pt>
                <c:pt idx="357">
                  <c:v>-21.441307421874278</c:v>
                </c:pt>
                <c:pt idx="358">
                  <c:v>-21.701175564368178</c:v>
                </c:pt>
                <c:pt idx="359">
                  <c:v>-21.970505925066405</c:v>
                </c:pt>
                <c:pt idx="360">
                  <c:v>-22.249316687326601</c:v>
                </c:pt>
                <c:pt idx="361">
                  <c:v>-22.537623439020567</c:v>
                </c:pt>
                <c:pt idx="362">
                  <c:v>-22.835438836218156</c:v>
                </c:pt>
                <c:pt idx="363">
                  <c:v>-23.14277225546504</c:v>
                </c:pt>
                <c:pt idx="364">
                  <c:v>-23.459629435212953</c:v>
                </c:pt>
                <c:pt idx="365">
                  <c:v>-23.786012107075184</c:v>
                </c:pt>
                <c:pt idx="366">
                  <c:v>-24.121917617704224</c:v>
                </c:pt>
                <c:pt idx="367">
                  <c:v>-24.467338542220805</c:v>
                </c:pt>
                <c:pt idx="368">
                  <c:v>-24.822262290267147</c:v>
                </c:pt>
                <c:pt idx="369">
                  <c:v>-25.186670705898717</c:v>
                </c:pt>
                <c:pt idx="370">
                  <c:v>-25.560539662687336</c:v>
                </c:pt>
                <c:pt idx="371">
                  <c:v>-25.943838655569365</c:v>
                </c:pt>
                <c:pt idx="372">
                  <c:v>-26.336530391127599</c:v>
                </c:pt>
                <c:pt idx="373">
                  <c:v>-26.738570378170508</c:v>
                </c:pt>
                <c:pt idx="374">
                  <c:v>-27.149906520634644</c:v>
                </c:pt>
                <c:pt idx="375">
                  <c:v>-27.570478714997815</c:v>
                </c:pt>
                <c:pt idx="376">
                  <c:v>-28.000218454558102</c:v>
                </c:pt>
                <c:pt idx="377">
                  <c:v>-28.439048443086786</c:v>
                </c:pt>
                <c:pt idx="378">
                  <c:v>-28.886882220507935</c:v>
                </c:pt>
                <c:pt idx="379">
                  <c:v>-29.343623803395609</c:v>
                </c:pt>
                <c:pt idx="380">
                  <c:v>-29.80916734319872</c:v>
                </c:pt>
                <c:pt idx="381">
                  <c:v>-30.283396805205641</c:v>
                </c:pt>
                <c:pt idx="382">
                  <c:v>-30.7661856713429</c:v>
                </c:pt>
                <c:pt idx="383">
                  <c:v>-31.257396669959167</c:v>
                </c:pt>
                <c:pt idx="384">
                  <c:v>-31.756881535770916</c:v>
                </c:pt>
                <c:pt idx="385">
                  <c:v>-32.264480803152175</c:v>
                </c:pt>
                <c:pt idx="386">
                  <c:v>-32.780023635903689</c:v>
                </c:pt>
                <c:pt idx="387">
                  <c:v>-33.303327696571813</c:v>
                </c:pt>
                <c:pt idx="388">
                  <c:v>-33.834199058273825</c:v>
                </c:pt>
                <c:pt idx="389">
                  <c:v>-34.372432161827163</c:v>
                </c:pt>
                <c:pt idx="390">
                  <c:v>-34.91780982079095</c:v>
                </c:pt>
                <c:pt idx="391">
                  <c:v>-35.47010327678651</c:v>
                </c:pt>
                <c:pt idx="392">
                  <c:v>-36.029072307178097</c:v>
                </c:pt>
                <c:pt idx="393">
                  <c:v>-36.594465386873757</c:v>
                </c:pt>
                <c:pt idx="394">
                  <c:v>-37.166019905639303</c:v>
                </c:pt>
                <c:pt idx="395">
                  <c:v>-37.743462441909791</c:v>
                </c:pt>
                <c:pt idx="396">
                  <c:v>-38.32650909364979</c:v>
                </c:pt>
                <c:pt idx="397">
                  <c:v>-38.914865866339355</c:v>
                </c:pt>
                <c:pt idx="398">
                  <c:v>-39.508229117664222</c:v>
                </c:pt>
                <c:pt idx="399">
                  <c:v>-40.106286057982274</c:v>
                </c:pt>
                <c:pt idx="400">
                  <c:v>-40.708715305096639</c:v>
                </c:pt>
                <c:pt idx="401">
                  <c:v>-41.315187491346556</c:v>
                </c:pt>
                <c:pt idx="402">
                  <c:v>-41.925365920482683</c:v>
                </c:pt>
                <c:pt idx="403">
                  <c:v>-42.538907271284643</c:v>
                </c:pt>
                <c:pt idx="404">
                  <c:v>-43.155462344366178</c:v>
                </c:pt>
                <c:pt idx="405">
                  <c:v>-43.774676848149909</c:v>
                </c:pt>
                <c:pt idx="406">
                  <c:v>-44.39619221954807</c:v>
                </c:pt>
                <c:pt idx="407">
                  <c:v>-45.01964647448974</c:v>
                </c:pt>
                <c:pt idx="408">
                  <c:v>-45.644675083104445</c:v>
                </c:pt>
                <c:pt idx="409">
                  <c:v>-46.270911864063336</c:v>
                </c:pt>
                <c:pt idx="410">
                  <c:v>-46.897989892374497</c:v>
                </c:pt>
                <c:pt idx="411">
                  <c:v>-47.525542414757986</c:v>
                </c:pt>
                <c:pt idx="412">
                  <c:v>-48.153203766641475</c:v>
                </c:pt>
                <c:pt idx="413">
                  <c:v>-48.780610284805242</c:v>
                </c:pt>
                <c:pt idx="414">
                  <c:v>-49.407401209747555</c:v>
                </c:pt>
                <c:pt idx="415">
                  <c:v>-50.033219571976375</c:v>
                </c:pt>
                <c:pt idx="416">
                  <c:v>-50.657713056628189</c:v>
                </c:pt>
                <c:pt idx="417">
                  <c:v>-51.280534841058689</c:v>
                </c:pt>
                <c:pt idx="418">
                  <c:v>-51.901344400381561</c:v>
                </c:pt>
                <c:pt idx="419">
                  <c:v>-52.519808276299635</c:v>
                </c:pt>
                <c:pt idx="420">
                  <c:v>-53.1356008049802</c:v>
                </c:pt>
                <c:pt idx="421">
                  <c:v>-53.748404800201428</c:v>
                </c:pt>
                <c:pt idx="422">
                  <c:v>-54.357912188468028</c:v>
                </c:pt>
                <c:pt idx="423">
                  <c:v>-54.963824593323118</c:v>
                </c:pt>
                <c:pt idx="424">
                  <c:v>-55.565853866592498</c:v>
                </c:pt>
                <c:pt idx="425">
                  <c:v>-56.163722564849202</c:v>
                </c:pt>
                <c:pt idx="426">
                  <c:v>-56.757164369904437</c:v>
                </c:pt>
                <c:pt idx="427">
                  <c:v>-57.345924452658892</c:v>
                </c:pt>
                <c:pt idx="428">
                  <c:v>-57.929759780150626</c:v>
                </c:pt>
                <c:pt idx="429">
                  <c:v>-58.508439366130375</c:v>
                </c:pt>
                <c:pt idx="430">
                  <c:v>-59.081744465929447</c:v>
                </c:pt>
                <c:pt idx="431">
                  <c:v>-59.649468716829645</c:v>
                </c:pt>
                <c:pt idx="432">
                  <c:v>-60.211418225509576</c:v>
                </c:pt>
                <c:pt idx="433">
                  <c:v>-60.767411604504204</c:v>
                </c:pt>
                <c:pt idx="434">
                  <c:v>-61.317279959901107</c:v>
                </c:pt>
                <c:pt idx="435">
                  <c:v>-61.860866832768394</c:v>
                </c:pt>
                <c:pt idx="436">
                  <c:v>-62.398028097024159</c:v>
                </c:pt>
                <c:pt idx="437">
                  <c:v>-62.928631816620722</c:v>
                </c:pt>
                <c:pt idx="438">
                  <c:v>-63.452558065062874</c:v>
                </c:pt>
                <c:pt idx="439">
                  <c:v>-63.969698710361307</c:v>
                </c:pt>
                <c:pt idx="440">
                  <c:v>-64.479957168577215</c:v>
                </c:pt>
                <c:pt idx="441">
                  <c:v>-64.983248129132164</c:v>
                </c:pt>
                <c:pt idx="442">
                  <c:v>-65.479497255044208</c:v>
                </c:pt>
                <c:pt idx="443">
                  <c:v>-65.968640861203113</c:v>
                </c:pt>
                <c:pt idx="444">
                  <c:v>-66.450625573729596</c:v>
                </c:pt>
                <c:pt idx="445">
                  <c:v>-66.925407973367527</c:v>
                </c:pt>
                <c:pt idx="446">
                  <c:v>-67.392954225748881</c:v>
                </c:pt>
                <c:pt idx="447">
                  <c:v>-67.853239701235026</c:v>
                </c:pt>
                <c:pt idx="448">
                  <c:v>-68.306248586902811</c:v>
                </c:pt>
                <c:pt idx="449">
                  <c:v>-68.751973493083412</c:v>
                </c:pt>
                <c:pt idx="450">
                  <c:v>-69.190415056708432</c:v>
                </c:pt>
                <c:pt idx="451">
                  <c:v>-69.621581543547208</c:v>
                </c:pt>
                <c:pt idx="452">
                  <c:v>-70.045488451254897</c:v>
                </c:pt>
                <c:pt idx="453">
                  <c:v>-70.462158114980426</c:v>
                </c:pt>
                <c:pt idx="454">
                  <c:v>-70.871619317120988</c:v>
                </c:pt>
                <c:pt idx="455">
                  <c:v>-71.273906902640178</c:v>
                </c:pt>
                <c:pt idx="456">
                  <c:v>-71.669061401213938</c:v>
                </c:pt>
                <c:pt idx="457">
                  <c:v>-72.057128657314252</c:v>
                </c:pt>
                <c:pt idx="458">
                  <c:v>-72.438159469188889</c:v>
                </c:pt>
                <c:pt idx="459">
                  <c:v>-72.812209237564474</c:v>
                </c:pt>
                <c:pt idx="460">
                  <c:v>-73.179337624762326</c:v>
                </c:pt>
                <c:pt idx="461">
                  <c:v>-73.53960822479651</c:v>
                </c:pt>
                <c:pt idx="462">
                  <c:v>-73.893088244909492</c:v>
                </c:pt>
                <c:pt idx="463">
                  <c:v>-74.239848198893483</c:v>
                </c:pt>
                <c:pt idx="464">
                  <c:v>-74.579961612448244</c:v>
                </c:pt>
                <c:pt idx="465">
                  <c:v>-74.913504740739967</c:v>
                </c:pt>
                <c:pt idx="466">
                  <c:v>-75.240556298242154</c:v>
                </c:pt>
                <c:pt idx="467">
                  <c:v>-75.561197200869401</c:v>
                </c:pt>
                <c:pt idx="468">
                  <c:v>-75.875510320349292</c:v>
                </c:pt>
                <c:pt idx="469">
                  <c:v>-76.183580250721008</c:v>
                </c:pt>
                <c:pt idx="470">
                  <c:v>-76.485493086796637</c:v>
                </c:pt>
                <c:pt idx="471">
                  <c:v>-76.781336214384083</c:v>
                </c:pt>
                <c:pt idx="472">
                  <c:v>-77.071198112020497</c:v>
                </c:pt>
                <c:pt idx="473">
                  <c:v>-77.355168163949017</c:v>
                </c:pt>
                <c:pt idx="474">
                  <c:v>-77.63333648402967</c:v>
                </c:pt>
                <c:pt idx="475">
                  <c:v>-77.905793750264706</c:v>
                </c:pt>
                <c:pt idx="476">
                  <c:v>-78.172631049595481</c:v>
                </c:pt>
                <c:pt idx="477">
                  <c:v>-78.433939732614533</c:v>
                </c:pt>
                <c:pt idx="478">
                  <c:v>-78.689811277830216</c:v>
                </c:pt>
                <c:pt idx="479">
                  <c:v>-78.940337165109611</c:v>
                </c:pt>
                <c:pt idx="480">
                  <c:v>-79.185608757928179</c:v>
                </c:pt>
                <c:pt idx="481">
                  <c:v>-79.42571719404458</c:v>
                </c:pt>
                <c:pt idx="482">
                  <c:v>-79.660753284230239</c:v>
                </c:pt>
                <c:pt idx="483">
                  <c:v>-79.890807418677383</c:v>
                </c:pt>
                <c:pt idx="484">
                  <c:v>-80.115969480720395</c:v>
                </c:pt>
                <c:pt idx="485">
                  <c:v>-80.336328767507752</c:v>
                </c:pt>
                <c:pt idx="486">
                  <c:v>-80.5519739172708</c:v>
                </c:pt>
                <c:pt idx="487">
                  <c:v>-80.762992842843957</c:v>
                </c:pt>
                <c:pt idx="488">
                  <c:v>-80.969472671100107</c:v>
                </c:pt>
                <c:pt idx="489">
                  <c:v>-81.171499687974958</c:v>
                </c:pt>
                <c:pt idx="490">
                  <c:v>-81.369159288764379</c:v>
                </c:pt>
                <c:pt idx="491">
                  <c:v>-81.562535933390635</c:v>
                </c:pt>
                <c:pt idx="492">
                  <c:v>-81.751713106343743</c:v>
                </c:pt>
                <c:pt idx="493">
                  <c:v>-81.936773281015746</c:v>
                </c:pt>
                <c:pt idx="494">
                  <c:v>-82.117797888157341</c:v>
                </c:pt>
                <c:pt idx="495">
                  <c:v>-82.294867288198489</c:v>
                </c:pt>
                <c:pt idx="496">
                  <c:v>-82.468060747184424</c:v>
                </c:pt>
                <c:pt idx="497">
                  <c:v>-82.63745641609178</c:v>
                </c:pt>
                <c:pt idx="498">
                  <c:v>-82.80313131329892</c:v>
                </c:pt>
                <c:pt idx="499">
                  <c:v>-82.965161309997129</c:v>
                </c:pt>
                <c:pt idx="500">
                  <c:v>-83.123621118338377</c:v>
                </c:pt>
                <c:pt idx="501">
                  <c:v>-83.278584282127554</c:v>
                </c:pt>
                <c:pt idx="502">
                  <c:v>-83.430123169875742</c:v>
                </c:pt>
                <c:pt idx="503">
                  <c:v>-83.578308970040979</c:v>
                </c:pt>
                <c:pt idx="504">
                  <c:v>-83.723211688294413</c:v>
                </c:pt>
                <c:pt idx="505">
                  <c:v>-83.864900146655259</c:v>
                </c:pt>
                <c:pt idx="506">
                  <c:v>-84.003441984350701</c:v>
                </c:pt>
                <c:pt idx="507">
                  <c:v>-84.138903660262002</c:v>
                </c:pt>
                <c:pt idx="508">
                  <c:v>-84.271350456828699</c:v>
                </c:pt>
                <c:pt idx="509">
                  <c:v>-84.400846485288241</c:v>
                </c:pt>
                <c:pt idx="510">
                  <c:v>-84.527454692137894</c:v>
                </c:pt>
                <c:pt idx="511">
                  <c:v>-84.651236866710803</c:v>
                </c:pt>
                <c:pt idx="512">
                  <c:v>-84.772253649766327</c:v>
                </c:pt>
                <c:pt idx="513">
                  <c:v>-84.890564543000821</c:v>
                </c:pt>
                <c:pt idx="514">
                  <c:v>-85.006227919389673</c:v>
                </c:pt>
                <c:pt idx="515">
                  <c:v>-85.11930103427899</c:v>
                </c:pt>
                <c:pt idx="516">
                  <c:v>-85.229840037150325</c:v>
                </c:pt>
                <c:pt idx="517">
                  <c:v>-85.337899983985707</c:v>
                </c:pt>
                <c:pt idx="518">
                  <c:v>-85.443534850166571</c:v>
                </c:pt>
                <c:pt idx="519">
                  <c:v>-85.546797543844278</c:v>
                </c:pt>
                <c:pt idx="520">
                  <c:v>-85.647739919724216</c:v>
                </c:pt>
                <c:pt idx="521">
                  <c:v>-85.746412793208691</c:v>
                </c:pt>
                <c:pt idx="522">
                  <c:v>-85.842865954849955</c:v>
                </c:pt>
                <c:pt idx="523">
                  <c:v>-85.937148185065539</c:v>
                </c:pt>
                <c:pt idx="524">
                  <c:v>-86.029307269073755</c:v>
                </c:pt>
                <c:pt idx="525">
                  <c:v>-86.119390012008807</c:v>
                </c:pt>
                <c:pt idx="526">
                  <c:v>-86.207442254179</c:v>
                </c:pt>
                <c:pt idx="527">
                  <c:v>-86.293508886434211</c:v>
                </c:pt>
                <c:pt idx="528">
                  <c:v>-86.377633865610207</c:v>
                </c:pt>
                <c:pt idx="529">
                  <c:v>-86.459860230022642</c:v>
                </c:pt>
                <c:pt idx="530">
                  <c:v>-86.540230114982378</c:v>
                </c:pt>
                <c:pt idx="531">
                  <c:v>-86.618784768308586</c:v>
                </c:pt>
                <c:pt idx="532">
                  <c:v>-86.695564565817079</c:v>
                </c:pt>
                <c:pt idx="533">
                  <c:v>-86.770609026763893</c:v>
                </c:pt>
                <c:pt idx="534">
                  <c:v>-86.843956829224197</c:v>
                </c:pt>
                <c:pt idx="535">
                  <c:v>-86.915645825390769</c:v>
                </c:pt>
                <c:pt idx="536">
                  <c:v>-86.985713056775751</c:v>
                </c:pt>
                <c:pt idx="537">
                  <c:v>-87.0541947693021</c:v>
                </c:pt>
                <c:pt idx="538">
                  <c:v>-87.121126428271594</c:v>
                </c:pt>
                <c:pt idx="539">
                  <c:v>-87.186542733198209</c:v>
                </c:pt>
                <c:pt idx="540">
                  <c:v>-87.250477632496626</c:v>
                </c:pt>
                <c:pt idx="541">
                  <c:v>-87.312964338016386</c:v>
                </c:pt>
              </c:numCache>
            </c:numRef>
          </c:yVal>
          <c:smooth val="1"/>
          <c:extLst>
            <c:ext xmlns:c16="http://schemas.microsoft.com/office/drawing/2014/chart" uri="{C3380CC4-5D6E-409C-BE32-E72D297353CC}">
              <c16:uniqueId val="{00000001-F7C0-4EEE-87E3-EE720F12A204}"/>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82.269913721515863</c:v>
                </c:pt>
                <c:pt idx="1">
                  <c:v>82.057605688081736</c:v>
                </c:pt>
                <c:pt idx="2">
                  <c:v>81.844755241321892</c:v>
                </c:pt>
                <c:pt idx="3">
                  <c:v>81.631340205224475</c:v>
                </c:pt>
                <c:pt idx="4">
                  <c:v>81.417337651708266</c:v>
                </c:pt>
                <c:pt idx="5">
                  <c:v>81.202723888933519</c:v>
                </c:pt>
                <c:pt idx="6">
                  <c:v>80.987474450772027</c:v>
                </c:pt>
                <c:pt idx="7">
                  <c:v>80.771564087584807</c:v>
                </c:pt>
                <c:pt idx="8">
                  <c:v>80.55496675846635</c:v>
                </c:pt>
                <c:pt idx="9">
                  <c:v>80.337655625119154</c:v>
                </c:pt>
                <c:pt idx="10">
                  <c:v>80.119603047533658</c:v>
                </c:pt>
                <c:pt idx="11">
                  <c:v>79.900780581652825</c:v>
                </c:pt>
                <c:pt idx="12">
                  <c:v>79.681158979210295</c:v>
                </c:pt>
                <c:pt idx="13">
                  <c:v>79.460708189935389</c:v>
                </c:pt>
                <c:pt idx="14">
                  <c:v>79.239397366323573</c:v>
                </c:pt>
                <c:pt idx="15">
                  <c:v>79.017194871176372</c:v>
                </c:pt>
                <c:pt idx="16">
                  <c:v>78.794068288116776</c:v>
                </c:pt>
                <c:pt idx="17">
                  <c:v>78.569984435287594</c:v>
                </c:pt>
                <c:pt idx="18">
                  <c:v>78.344909382440406</c:v>
                </c:pt>
                <c:pt idx="19">
                  <c:v>78.118808471621662</c:v>
                </c:pt>
                <c:pt idx="20">
                  <c:v>77.891646341657022</c:v>
                </c:pt>
                <c:pt idx="21">
                  <c:v>77.663386956629068</c:v>
                </c:pt>
                <c:pt idx="22">
                  <c:v>77.433993638537103</c:v>
                </c:pt>
                <c:pt idx="23">
                  <c:v>77.203429104311624</c:v>
                </c:pt>
                <c:pt idx="24">
                  <c:v>76.971655507347691</c:v>
                </c:pt>
                <c:pt idx="25">
                  <c:v>76.738634483698135</c:v>
                </c:pt>
                <c:pt idx="26">
                  <c:v>76.50432720305281</c:v>
                </c:pt>
                <c:pt idx="27">
                  <c:v>76.268694424600469</c:v>
                </c:pt>
                <c:pt idx="28">
                  <c:v>76.031696557848264</c:v>
                </c:pt>
                <c:pt idx="29">
                  <c:v>75.793293728438641</c:v>
                </c:pt>
                <c:pt idx="30">
                  <c:v>75.553445848972146</c:v>
                </c:pt>
                <c:pt idx="31">
                  <c:v>75.312112694806189</c:v>
                </c:pt>
                <c:pt idx="32">
                  <c:v>75.069253984759342</c:v>
                </c:pt>
                <c:pt idx="33">
                  <c:v>74.824829466607952</c:v>
                </c:pt>
                <c:pt idx="34">
                  <c:v>74.578799007212695</c:v>
                </c:pt>
                <c:pt idx="35">
                  <c:v>74.33112268706958</c:v>
                </c:pt>
                <c:pt idx="36">
                  <c:v>74.081760899022171</c:v>
                </c:pt>
                <c:pt idx="37">
                  <c:v>73.830674450826621</c:v>
                </c:pt>
                <c:pt idx="38">
                  <c:v>73.577824671203146</c:v>
                </c:pt>
                <c:pt idx="39">
                  <c:v>73.323173518957589</c:v>
                </c:pt>
                <c:pt idx="40">
                  <c:v>73.066683694703983</c:v>
                </c:pt>
                <c:pt idx="41">
                  <c:v>72.808318754665564</c:v>
                </c:pt>
                <c:pt idx="42">
                  <c:v>72.548043225989076</c:v>
                </c:pt>
                <c:pt idx="43">
                  <c:v>72.285822722953299</c:v>
                </c:pt>
                <c:pt idx="44">
                  <c:v>72.021624063419424</c:v>
                </c:pt>
                <c:pt idx="45">
                  <c:v>71.755415384829135</c:v>
                </c:pt>
                <c:pt idx="46">
                  <c:v>71.487166259027916</c:v>
                </c:pt>
                <c:pt idx="47">
                  <c:v>71.216847805167845</c:v>
                </c:pt>
                <c:pt idx="48">
                  <c:v>70.944432799924087</c:v>
                </c:pt>
                <c:pt idx="49">
                  <c:v>70.669895784257349</c:v>
                </c:pt>
                <c:pt idx="50">
                  <c:v>70.393213165947898</c:v>
                </c:pt>
                <c:pt idx="51">
                  <c:v>70.114363317142093</c:v>
                </c:pt>
                <c:pt idx="52">
                  <c:v>69.833326666169228</c:v>
                </c:pt>
                <c:pt idx="53">
                  <c:v>69.550085782913399</c:v>
                </c:pt>
                <c:pt idx="54">
                  <c:v>69.264625457068632</c:v>
                </c:pt>
                <c:pt idx="55">
                  <c:v>68.976932768646066</c:v>
                </c:pt>
                <c:pt idx="56">
                  <c:v>68.68699715016615</c:v>
                </c:pt>
                <c:pt idx="57">
                  <c:v>68.394810440026134</c:v>
                </c:pt>
                <c:pt idx="58">
                  <c:v>68.100366926611912</c:v>
                </c:pt>
                <c:pt idx="59">
                  <c:v>67.803663382796927</c:v>
                </c:pt>
                <c:pt idx="60">
                  <c:v>67.504699090559313</c:v>
                </c:pt>
                <c:pt idx="61">
                  <c:v>67.203475855533</c:v>
                </c:pt>
                <c:pt idx="62">
                  <c:v>66.899998011403639</c:v>
                </c:pt>
                <c:pt idx="63">
                  <c:v>66.594272414149899</c:v>
                </c:pt>
                <c:pt idx="64">
                  <c:v>66.286308426225119</c:v>
                </c:pt>
                <c:pt idx="65">
                  <c:v>65.976117890866249</c:v>
                </c:pt>
                <c:pt idx="66">
                  <c:v>65.663715096805419</c:v>
                </c:pt>
                <c:pt idx="67">
                  <c:v>65.349116733741738</c:v>
                </c:pt>
                <c:pt idx="68">
                  <c:v>65.032341839016269</c:v>
                </c:pt>
                <c:pt idx="69">
                  <c:v>64.713411735999117</c:v>
                </c:pt>
                <c:pt idx="70">
                  <c:v>64.392349964768968</c:v>
                </c:pt>
                <c:pt idx="71">
                  <c:v>64.069182205717041</c:v>
                </c:pt>
                <c:pt idx="72">
                  <c:v>63.743936196764523</c:v>
                </c:pt>
                <c:pt idx="73">
                  <c:v>63.416641644909397</c:v>
                </c:pt>
                <c:pt idx="74">
                  <c:v>63.087330132861922</c:v>
                </c:pt>
                <c:pt idx="75">
                  <c:v>62.75603502153632</c:v>
                </c:pt>
                <c:pt idx="76">
                  <c:v>62.422791349185303</c:v>
                </c:pt>
                <c:pt idx="77">
                  <c:v>62.087635727959871</c:v>
                </c:pt>
                <c:pt idx="78">
                  <c:v>61.750606238672525</c:v>
                </c:pt>
                <c:pt idx="79">
                  <c:v>61.411742324524184</c:v>
                </c:pt>
                <c:pt idx="80">
                  <c:v>61.071084684534462</c:v>
                </c:pt>
                <c:pt idx="81">
                  <c:v>60.728675167381347</c:v>
                </c:pt>
                <c:pt idx="82">
                  <c:v>60.384556666322844</c:v>
                </c:pt>
                <c:pt idx="83">
                  <c:v>60.038773015832028</c:v>
                </c:pt>
                <c:pt idx="84">
                  <c:v>59.691368890528892</c:v>
                </c:pt>
                <c:pt idx="85">
                  <c:v>59.342389706947188</c:v>
                </c:pt>
                <c:pt idx="86">
                  <c:v>58.991881528621199</c:v>
                </c:pt>
                <c:pt idx="87">
                  <c:v>58.639890974923965</c:v>
                </c:pt>
                <c:pt idx="88">
                  <c:v>58.286465134038778</c:v>
                </c:pt>
                <c:pt idx="89">
                  <c:v>57.931651480386968</c:v>
                </c:pt>
                <c:pt idx="90">
                  <c:v>57.575497796787062</c:v>
                </c:pt>
                <c:pt idx="91">
                  <c:v>57.218052101566037</c:v>
                </c:pt>
                <c:pt idx="92">
                  <c:v>56.859362580794013</c:v>
                </c:pt>
                <c:pt idx="93">
                  <c:v>56.499477525766729</c:v>
                </c:pt>
                <c:pt idx="94">
                  <c:v>56.138445275815414</c:v>
                </c:pt>
                <c:pt idx="95">
                  <c:v>55.776314166480248</c:v>
                </c:pt>
                <c:pt idx="96">
                  <c:v>55.413132483044841</c:v>
                </c:pt>
                <c:pt idx="97">
                  <c:v>55.048948419394989</c:v>
                </c:pt>
                <c:pt idx="98">
                  <c:v>54.683810042128336</c:v>
                </c:pt>
                <c:pt idx="99">
                  <c:v>54.317765259817193</c:v>
                </c:pt>
                <c:pt idx="100">
                  <c:v>53.950861797295715</c:v>
                </c:pt>
                <c:pt idx="101">
                  <c:v>53.583147174822145</c:v>
                </c:pt>
                <c:pt idx="102">
                  <c:v>53.214668691946265</c:v>
                </c:pt>
                <c:pt idx="103">
                  <c:v>52.845473415894347</c:v>
                </c:pt>
                <c:pt idx="104">
                  <c:v>52.4756081742687</c:v>
                </c:pt>
                <c:pt idx="105">
                  <c:v>52.105119551848929</c:v>
                </c:pt>
                <c:pt idx="106">
                  <c:v>51.734053891267877</c:v>
                </c:pt>
                <c:pt idx="107">
                  <c:v>51.362457297331616</c:v>
                </c:pt>
                <c:pt idx="108">
                  <c:v>50.990375644743295</c:v>
                </c:pt>
                <c:pt idx="109">
                  <c:v>50.617854588987782</c:v>
                </c:pt>
                <c:pt idx="110">
                  <c:v>50.244939580128531</c:v>
                </c:pt>
                <c:pt idx="111">
                  <c:v>49.871675879268984</c:v>
                </c:pt>
                <c:pt idx="112">
                  <c:v>49.498108577426123</c:v>
                </c:pt>
                <c:pt idx="113">
                  <c:v>49.124282616565118</c:v>
                </c:pt>
                <c:pt idx="114">
                  <c:v>48.750242812543334</c:v>
                </c:pt>
                <c:pt idx="115">
                  <c:v>48.376033879712459</c:v>
                </c:pt>
                <c:pt idx="116">
                  <c:v>48.001700456927274</c:v>
                </c:pt>
                <c:pt idx="117">
                  <c:v>47.627287134712148</c:v>
                </c:pt>
                <c:pt idx="118">
                  <c:v>47.252838483333768</c:v>
                </c:pt>
                <c:pt idx="119">
                  <c:v>46.878399081533857</c:v>
                </c:pt>
                <c:pt idx="120">
                  <c:v>46.504013545672009</c:v>
                </c:pt>
                <c:pt idx="121">
                  <c:v>46.129726559030502</c:v>
                </c:pt>
                <c:pt idx="122">
                  <c:v>45.755582901035552</c:v>
                </c:pt>
                <c:pt idx="123">
                  <c:v>45.381627476144814</c:v>
                </c:pt>
                <c:pt idx="124">
                  <c:v>45.00790534215551</c:v>
                </c:pt>
                <c:pt idx="125">
                  <c:v>44.634461737683949</c:v>
                </c:pt>
                <c:pt idx="126">
                  <c:v>44.261342108567455</c:v>
                </c:pt>
                <c:pt idx="127">
                  <c:v>43.888592132942222</c:v>
                </c:pt>
                <c:pt idx="128">
                  <c:v>43.516257744744721</c:v>
                </c:pt>
                <c:pt idx="129">
                  <c:v>43.144385155388832</c:v>
                </c:pt>
                <c:pt idx="130">
                  <c:v>42.773020873369916</c:v>
                </c:pt>
                <c:pt idx="131">
                  <c:v>42.402211721545768</c:v>
                </c:pt>
                <c:pt idx="132">
                  <c:v>42.032004851848299</c:v>
                </c:pt>
                <c:pt idx="133">
                  <c:v>41.662447757179564</c:v>
                </c:pt>
                <c:pt idx="134">
                  <c:v>41.293588280250304</c:v>
                </c:pt>
                <c:pt idx="135">
                  <c:v>40.92547461912325</c:v>
                </c:pt>
                <c:pt idx="136">
                  <c:v>40.558155329227645</c:v>
                </c:pt>
                <c:pt idx="137">
                  <c:v>40.191679321621343</c:v>
                </c:pt>
                <c:pt idx="138">
                  <c:v>39.82609585728396</c:v>
                </c:pt>
                <c:pt idx="139">
                  <c:v>39.461454537235404</c:v>
                </c:pt>
                <c:pt idx="140">
                  <c:v>39.097805288291077</c:v>
                </c:pt>
                <c:pt idx="141">
                  <c:v>38.735198344276249</c:v>
                </c:pt>
                <c:pt idx="142">
                  <c:v>38.373684222545272</c:v>
                </c:pt>
                <c:pt idx="143">
                  <c:v>38.01331369567049</c:v>
                </c:pt>
                <c:pt idx="144">
                  <c:v>37.654137758190743</c:v>
                </c:pt>
                <c:pt idx="145">
                  <c:v>37.296207588338419</c:v>
                </c:pt>
                <c:pt idx="146">
                  <c:v>36.939574504693425</c:v>
                </c:pt>
                <c:pt idx="147">
                  <c:v>36.584289917747896</c:v>
                </c:pt>
                <c:pt idx="148">
                  <c:v>36.23040527640272</c:v>
                </c:pt>
                <c:pt idx="149">
                  <c:v>35.877972009457039</c:v>
                </c:pt>
                <c:pt idx="150">
                  <c:v>35.527041462195619</c:v>
                </c:pt>
                <c:pt idx="151">
                  <c:v>35.177664828226682</c:v>
                </c:pt>
                <c:pt idx="152">
                  <c:v>34.829893076768009</c:v>
                </c:pt>
                <c:pt idx="153">
                  <c:v>34.483776875633161</c:v>
                </c:pt>
                <c:pt idx="154">
                  <c:v>34.139366510220654</c:v>
                </c:pt>
                <c:pt idx="155">
                  <c:v>33.796711798859896</c:v>
                </c:pt>
                <c:pt idx="156">
                  <c:v>33.455862004926018</c:v>
                </c:pt>
                <c:pt idx="157">
                  <c:v>33.116865746181773</c:v>
                </c:pt>
                <c:pt idx="158">
                  <c:v>32.77977090186404</c:v>
                </c:pt>
                <c:pt idx="159">
                  <c:v>32.444624518076459</c:v>
                </c:pt>
                <c:pt idx="160">
                  <c:v>32.111472712098966</c:v>
                </c:pt>
                <c:pt idx="161">
                  <c:v>31.780360576269221</c:v>
                </c:pt>
                <c:pt idx="162">
                  <c:v>31.451332082127902</c:v>
                </c:pt>
                <c:pt idx="163">
                  <c:v>31.124429985551799</c:v>
                </c:pt>
                <c:pt idx="164">
                  <c:v>30.799695733629292</c:v>
                </c:pt>
                <c:pt idx="165">
                  <c:v>30.47716937404649</c:v>
                </c:pt>
                <c:pt idx="166">
                  <c:v>30.156889467768369</c:v>
                </c:pt>
                <c:pt idx="167">
                  <c:v>29.838893005798468</c:v>
                </c:pt>
                <c:pt idx="168">
                  <c:v>29.523215330795857</c:v>
                </c:pt>
                <c:pt idx="169">
                  <c:v>29.209890064312244</c:v>
                </c:pt>
                <c:pt idx="170">
                  <c:v>28.898949040384451</c:v>
                </c:pt>
                <c:pt idx="171">
                  <c:v>28.590422246183294</c:v>
                </c:pt>
                <c:pt idx="172">
                  <c:v>28.284337770375139</c:v>
                </c:pt>
                <c:pt idx="173">
                  <c:v>27.98072175979533</c:v>
                </c:pt>
                <c:pt idx="174">
                  <c:v>27.679598384972223</c:v>
                </c:pt>
                <c:pt idx="175">
                  <c:v>27.380989814966988</c:v>
                </c:pt>
                <c:pt idx="176">
                  <c:v>27.084916201914972</c:v>
                </c:pt>
                <c:pt idx="177">
                  <c:v>26.791395675572542</c:v>
                </c:pt>
                <c:pt idx="178">
                  <c:v>26.500444348079377</c:v>
                </c:pt>
                <c:pt idx="179">
                  <c:v>26.212076329053957</c:v>
                </c:pt>
                <c:pt idx="180">
                  <c:v>25.92630375104396</c:v>
                </c:pt>
                <c:pt idx="181">
                  <c:v>25.643136805254777</c:v>
                </c:pt>
                <c:pt idx="182">
                  <c:v>25.362583787382743</c:v>
                </c:pt>
                <c:pt idx="183">
                  <c:v>25.084651153283737</c:v>
                </c:pt>
                <c:pt idx="184">
                  <c:v>24.809343584117066</c:v>
                </c:pt>
                <c:pt idx="185">
                  <c:v>24.53666406051482</c:v>
                </c:pt>
                <c:pt idx="186">
                  <c:v>24.266613945244163</c:v>
                </c:pt>
                <c:pt idx="187">
                  <c:v>23.999193073758491</c:v>
                </c:pt>
                <c:pt idx="188">
                  <c:v>23.734399851960212</c:v>
                </c:pt>
                <c:pt idx="189">
                  <c:v>23.472231360440063</c:v>
                </c:pt>
                <c:pt idx="190">
                  <c:v>23.212683464408649</c:v>
                </c:pt>
                <c:pt idx="191">
                  <c:v>22.955750928490588</c:v>
                </c:pt>
                <c:pt idx="192">
                  <c:v>22.701427535521475</c:v>
                </c:pt>
                <c:pt idx="193">
                  <c:v>22.449706208463873</c:v>
                </c:pt>
                <c:pt idx="194">
                  <c:v>22.200579134544604</c:v>
                </c:pt>
                <c:pt idx="195">
                  <c:v>21.954037890710399</c:v>
                </c:pt>
                <c:pt idx="196">
                  <c:v>21.710073569502754</c:v>
                </c:pt>
                <c:pt idx="197">
                  <c:v>21.468676904463621</c:v>
                </c:pt>
                <c:pt idx="198">
                  <c:v>21.229838394202318</c:v>
                </c:pt>
                <c:pt idx="199">
                  <c:v>20.99354842427925</c:v>
                </c:pt>
                <c:pt idx="200">
                  <c:v>20.759797386093179</c:v>
                </c:pt>
                <c:pt idx="201">
                  <c:v>20.528575791994591</c:v>
                </c:pt>
                <c:pt idx="202">
                  <c:v>20.299874385887584</c:v>
                </c:pt>
                <c:pt idx="203">
                  <c:v>20.073684248627025</c:v>
                </c:pt>
                <c:pt idx="204">
                  <c:v>19.849996897564989</c:v>
                </c:pt>
                <c:pt idx="205">
                  <c:v>19.628804379647406</c:v>
                </c:pt>
                <c:pt idx="206">
                  <c:v>19.410099357514856</c:v>
                </c:pt>
                <c:pt idx="207">
                  <c:v>19.193875188109896</c:v>
                </c:pt>
                <c:pt idx="208">
                  <c:v>18.980125993348146</c:v>
                </c:pt>
                <c:pt idx="209">
                  <c:v>18.768846722461287</c:v>
                </c:pt>
                <c:pt idx="210">
                  <c:v>18.560033205671886</c:v>
                </c:pt>
                <c:pt idx="211">
                  <c:v>18.353682198913749</c:v>
                </c:pt>
                <c:pt idx="212">
                  <c:v>18.149791419362099</c:v>
                </c:pt>
                <c:pt idx="213">
                  <c:v>17.94835957158924</c:v>
                </c:pt>
                <c:pt idx="214">
                  <c:v>17.749386364213496</c:v>
                </c:pt>
                <c:pt idx="215">
                  <c:v>17.552872516958924</c:v>
                </c:pt>
                <c:pt idx="216">
                  <c:v>17.358819758094558</c:v>
                </c:pt>
                <c:pt idx="217">
                  <c:v>17.167230812272049</c:v>
                </c:pt>
                <c:pt idx="218">
                  <c:v>16.978109378832038</c:v>
                </c:pt>
                <c:pt idx="219">
                  <c:v>16.791460100698494</c:v>
                </c:pt>
                <c:pt idx="220">
                  <c:v>16.607288524033727</c:v>
                </c:pt>
                <c:pt idx="221">
                  <c:v>16.425601048876214</c:v>
                </c:pt>
                <c:pt idx="222">
                  <c:v>16.246404871035384</c:v>
                </c:pt>
                <c:pt idx="223">
                  <c:v>16.069707915571133</c:v>
                </c:pt>
                <c:pt idx="224">
                  <c:v>15.89551876223535</c:v>
                </c:pt>
                <c:pt idx="225">
                  <c:v>15.723846563308793</c:v>
                </c:pt>
                <c:pt idx="226">
                  <c:v>15.554700954314454</c:v>
                </c:pt>
                <c:pt idx="227">
                  <c:v>15.388091958144939</c:v>
                </c:pt>
                <c:pt idx="228">
                  <c:v>15.224029883188145</c:v>
                </c:pt>
                <c:pt idx="229">
                  <c:v>15.062525216088185</c:v>
                </c:pt>
                <c:pt idx="230">
                  <c:v>14.903588509823527</c:v>
                </c:pt>
                <c:pt idx="231">
                  <c:v>14.747230267830314</c:v>
                </c:pt>
                <c:pt idx="232">
                  <c:v>14.593460824940703</c:v>
                </c:pt>
                <c:pt idx="233">
                  <c:v>14.442290225942937</c:v>
                </c:pt>
                <c:pt idx="234">
                  <c:v>14.293728102601742</c:v>
                </c:pt>
                <c:pt idx="235">
                  <c:v>14.147783550007285</c:v>
                </c:pt>
                <c:pt idx="236">
                  <c:v>14.00446500313884</c:v>
                </c:pt>
                <c:pt idx="237">
                  <c:v>13.863780114544559</c:v>
                </c:pt>
                <c:pt idx="238">
                  <c:v>13.725735634045044</c:v>
                </c:pt>
                <c:pt idx="239">
                  <c:v>13.590337291364543</c:v>
                </c:pt>
                <c:pt idx="240">
                  <c:v>13.457589682584246</c:v>
                </c:pt>
                <c:pt idx="241">
                  <c:v>13.32749616129086</c:v>
                </c:pt>
                <c:pt idx="242">
                  <c:v>13.200058735263905</c:v>
                </c:pt>
                <c:pt idx="243">
                  <c:v>13.075277969508088</c:v>
                </c:pt>
                <c:pt idx="244">
                  <c:v>12.953152896385291</c:v>
                </c:pt>
                <c:pt idx="245">
                  <c:v>12.833680933549026</c:v>
                </c:pt>
                <c:pt idx="246">
                  <c:v>12.716857810312408</c:v>
                </c:pt>
                <c:pt idx="247">
                  <c:v>12.602677503013188</c:v>
                </c:pt>
                <c:pt idx="248">
                  <c:v>12.491132179855352</c:v>
                </c:pt>
                <c:pt idx="249">
                  <c:v>12.382212155621986</c:v>
                </c:pt>
                <c:pt idx="250">
                  <c:v>12.275905856564613</c:v>
                </c:pt>
                <c:pt idx="251">
                  <c:v>12.172199795676388</c:v>
                </c:pt>
                <c:pt idx="252">
                  <c:v>12.071078558464075</c:v>
                </c:pt>
                <c:pt idx="253">
                  <c:v>11.972524799232914</c:v>
                </c:pt>
                <c:pt idx="254">
                  <c:v>11.876519247803831</c:v>
                </c:pt>
                <c:pt idx="255">
                  <c:v>11.78304072648716</c:v>
                </c:pt>
                <c:pt idx="256">
                  <c:v>11.692066177044669</c:v>
                </c:pt>
                <c:pt idx="257">
                  <c:v>11.603570697287466</c:v>
                </c:pt>
                <c:pt idx="258">
                  <c:v>11.517527586874483</c:v>
                </c:pt>
                <c:pt idx="259">
                  <c:v>11.433908401802146</c:v>
                </c:pt>
                <c:pt idx="260">
                  <c:v>11.35268301701376</c:v>
                </c:pt>
                <c:pt idx="261">
                  <c:v>11.27381969649441</c:v>
                </c:pt>
                <c:pt idx="262">
                  <c:v>11.197285170173387</c:v>
                </c:pt>
                <c:pt idx="263">
                  <c:v>11.123044716915736</c:v>
                </c:pt>
                <c:pt idx="264">
                  <c:v>11.051062252856605</c:v>
                </c:pt>
                <c:pt idx="265">
                  <c:v>10.981300424311266</c:v>
                </c:pt>
                <c:pt idx="266">
                  <c:v>10.913720704487972</c:v>
                </c:pt>
                <c:pt idx="267">
                  <c:v>10.848283493226345</c:v>
                </c:pt>
                <c:pt idx="268">
                  <c:v>10.784948218995947</c:v>
                </c:pt>
                <c:pt idx="269">
                  <c:v>10.723673442404802</c:v>
                </c:pt>
                <c:pt idx="270">
                  <c:v>10.664416960492748</c:v>
                </c:pt>
                <c:pt idx="271">
                  <c:v>10.60713591111508</c:v>
                </c:pt>
                <c:pt idx="272">
                  <c:v>10.551786876759312</c:v>
                </c:pt>
                <c:pt idx="273">
                  <c:v>10.498325987178166</c:v>
                </c:pt>
                <c:pt idx="274">
                  <c:v>10.446709020269736</c:v>
                </c:pt>
                <c:pt idx="275">
                  <c:v>10.396891500682877</c:v>
                </c:pt>
                <c:pt idx="276">
                  <c:v>10.348828795676713</c:v>
                </c:pt>
                <c:pt idx="277">
                  <c:v>10.302476207818536</c:v>
                </c:pt>
                <c:pt idx="278">
                  <c:v>10.257789064151419</c:v>
                </c:pt>
                <c:pt idx="279">
                  <c:v>10.214722801521621</c:v>
                </c:pt>
                <c:pt idx="280">
                  <c:v>10.173233047804658</c:v>
                </c:pt>
                <c:pt idx="281">
                  <c:v>10.133275698818567</c:v>
                </c:pt>
                <c:pt idx="282">
                  <c:v>10.094806990762992</c:v>
                </c:pt>
                <c:pt idx="283">
                  <c:v>10.057783568068405</c:v>
                </c:pt>
                <c:pt idx="284">
                  <c:v>10.022162546582329</c:v>
                </c:pt>
                <c:pt idx="285">
                  <c:v>9.9879015720601352</c:v>
                </c:pt>
                <c:pt idx="286">
                  <c:v>9.9549588739644594</c:v>
                </c:pt>
                <c:pt idx="287">
                  <c:v>9.9232933146122253</c:v>
                </c:pt>
                <c:pt idx="288">
                  <c:v>9.8928644337371008</c:v>
                </c:pt>
                <c:pt idx="289">
                  <c:v>9.8636324885627946</c:v>
                </c:pt>
                <c:pt idx="290">
                  <c:v>9.8355584895062194</c:v>
                </c:pt>
                <c:pt idx="291">
                  <c:v>9.8086042316488893</c:v>
                </c:pt>
                <c:pt idx="292">
                  <c:v>9.7827323221334179</c:v>
                </c:pt>
                <c:pt idx="293">
                  <c:v>9.7579062036547306</c:v>
                </c:pt>
                <c:pt idx="294">
                  <c:v>9.7340901742268677</c:v>
                </c:pt>
                <c:pt idx="295">
                  <c:v>9.7112494034158203</c:v>
                </c:pt>
                <c:pt idx="296">
                  <c:v>9.6893499452338698</c:v>
                </c:pt>
                <c:pt idx="297">
                  <c:v>9.6683587478952688</c:v>
                </c:pt>
                <c:pt idx="298">
                  <c:v>9.6482436606345505</c:v>
                </c:pt>
                <c:pt idx="299">
                  <c:v>9.6289734377895879</c:v>
                </c:pt>
                <c:pt idx="300">
                  <c:v>9.6105177403489161</c:v>
                </c:pt>
                <c:pt idx="301">
                  <c:v>9.5928471351603388</c:v>
                </c:pt>
                <c:pt idx="302">
                  <c:v>9.5759330919940151</c:v>
                </c:pt>
                <c:pt idx="303">
                  <c:v>9.5597479786469357</c:v>
                </c:pt>
                <c:pt idx="304">
                  <c:v>9.5442650542714453</c:v>
                </c:pt>
                <c:pt idx="305">
                  <c:v>9.5294584611009583</c:v>
                </c:pt>
                <c:pt idx="306">
                  <c:v>9.5153032147418468</c:v>
                </c:pt>
                <c:pt idx="307">
                  <c:v>9.5017751931896868</c:v>
                </c:pt>
                <c:pt idx="308">
                  <c:v>9.4888511247226113</c:v>
                </c:pt>
                <c:pt idx="309">
                  <c:v>9.4765085748144333</c:v>
                </c:pt>
                <c:pt idx="310">
                  <c:v>9.4647259322023203</c:v>
                </c:pt>
                <c:pt idx="311">
                  <c:v>9.4534823942357988</c:v>
                </c:pt>
                <c:pt idx="312">
                  <c:v>9.4427579516258202</c:v>
                </c:pt>
                <c:pt idx="313">
                  <c:v>9.4325333727016911</c:v>
                </c:pt>
                <c:pt idx="314">
                  <c:v>9.4227901872806825</c:v>
                </c:pt>
                <c:pt idx="315">
                  <c:v>9.413510670241962</c:v>
                </c:pt>
                <c:pt idx="316">
                  <c:v>9.4046778248914382</c:v>
                </c:pt>
                <c:pt idx="317">
                  <c:v>9.3962753661975444</c:v>
                </c:pt>
                <c:pt idx="318">
                  <c:v>9.388287703968393</c:v>
                </c:pt>
                <c:pt idx="319">
                  <c:v>9.380699926035426</c:v>
                </c:pt>
                <c:pt idx="320">
                  <c:v>9.3734977815024649</c:v>
                </c:pt>
                <c:pt idx="321">
                  <c:v>9.3666676641119206</c:v>
                </c:pt>
                <c:pt idx="322">
                  <c:v>9.3601965957739015</c:v>
                </c:pt>
                <c:pt idx="323">
                  <c:v>9.3540722102992575</c:v>
                </c:pt>
                <c:pt idx="324">
                  <c:v>9.3482827373720081</c:v>
                </c:pt>
                <c:pt idx="325">
                  <c:v>9.3428169867899804</c:v>
                </c:pt>
                <c:pt idx="326">
                  <c:v>9.3376643330001414</c:v>
                </c:pt>
                <c:pt idx="327">
                  <c:v>9.3328146999495178</c:v>
                </c:pt>
                <c:pt idx="328">
                  <c:v>9.3282585462661007</c:v>
                </c:pt>
                <c:pt idx="329">
                  <c:v>9.3239868507858699</c:v>
                </c:pt>
                <c:pt idx="330">
                  <c:v>9.3199910984296732</c:v>
                </c:pt>
                <c:pt idx="331">
                  <c:v>9.3162632664394014</c:v>
                </c:pt>
                <c:pt idx="332">
                  <c:v>9.312795810971437</c:v>
                </c:pt>
                <c:pt idx="333">
                  <c:v>9.3095816540471485</c:v>
                </c:pt>
                <c:pt idx="334">
                  <c:v>9.3066141708554682</c:v>
                </c:pt>
                <c:pt idx="335">
                  <c:v>9.3038871773976908</c:v>
                </c:pt>
                <c:pt idx="336">
                  <c:v>9.3013949184656042</c:v>
                </c:pt>
                <c:pt idx="337">
                  <c:v>9.2991320559377115</c:v>
                </c:pt>
                <c:pt idx="338">
                  <c:v>9.2970936573769407</c:v>
                </c:pt>
                <c:pt idx="339">
                  <c:v>9.2952751849121125</c:v>
                </c:pt>
                <c:pt idx="340">
                  <c:v>9.2936724843791918</c:v>
                </c:pt>
                <c:pt idx="341">
                  <c:v>9.2922817747000401</c:v>
                </c:pt>
                <c:pt idx="342">
                  <c:v>9.2910996374712003</c:v>
                </c:pt>
                <c:pt idx="343">
                  <c:v>9.2901230067333636</c:v>
                </c:pt>
                <c:pt idx="344">
                  <c:v>9.2893491588910653</c:v>
                </c:pt>
                <c:pt idx="345">
                  <c:v>9.2887757027487421</c:v>
                </c:pt>
                <c:pt idx="346">
                  <c:v>9.2884005696262442</c:v>
                </c:pt>
                <c:pt idx="347">
                  <c:v>9.288222003518193</c:v>
                </c:pt>
                <c:pt idx="348">
                  <c:v>9.2882385512550165</c:v>
                </c:pt>
                <c:pt idx="349">
                  <c:v>9.2884490526248662</c:v>
                </c:pt>
                <c:pt idx="350">
                  <c:v>9.2888526304124781</c:v>
                </c:pt>
                <c:pt idx="351">
                  <c:v>9.2894486803089222</c:v>
                </c:pt>
                <c:pt idx="352">
                  <c:v>9.2902368606455372</c:v>
                </c:pt>
                <c:pt idx="353">
                  <c:v>9.2912170819033886</c:v>
                </c:pt>
                <c:pt idx="354">
                  <c:v>9.2923894959479654</c:v>
                </c:pt>
                <c:pt idx="355">
                  <c:v>9.2937544849379456</c:v>
                </c:pt>
                <c:pt idx="356">
                  <c:v>9.2953126498583689</c:v>
                </c:pt>
                <c:pt idx="357">
                  <c:v>9.2970647986223511</c:v>
                </c:pt>
                <c:pt idx="358">
                  <c:v>9.2990119336936878</c:v>
                </c:pt>
                <c:pt idx="359">
                  <c:v>9.301155239174463</c:v>
                </c:pt>
                <c:pt idx="360">
                  <c:v>9.3034960673101335</c:v>
                </c:pt>
                <c:pt idx="361">
                  <c:v>9.3060359243599873</c:v>
                </c:pt>
                <c:pt idx="362">
                  <c:v>9.3087764557871147</c:v>
                </c:pt>
                <c:pt idx="363">
                  <c:v>9.3117194307214017</c:v>
                </c:pt>
                <c:pt idx="364">
                  <c:v>9.3148667256562856</c:v>
                </c:pt>
                <c:pt idx="365">
                  <c:v>9.3182203073380521</c:v>
                </c:pt>
                <c:pt idx="366">
                  <c:v>9.3217822148204981</c:v>
                </c:pt>
                <c:pt idx="367">
                  <c:v>9.3255545406524742</c:v>
                </c:pt>
                <c:pt idx="368">
                  <c:v>9.3295394111839371</c:v>
                </c:pt>
                <c:pt idx="369">
                  <c:v>9.3337389659750443</c:v>
                </c:pt>
                <c:pt idx="370">
                  <c:v>9.3381553363074215</c:v>
                </c:pt>
                <c:pt idx="371">
                  <c:v>9.3427906228040598</c:v>
                </c:pt>
                <c:pt idx="372">
                  <c:v>9.3476468721769486</c:v>
                </c:pt>
                <c:pt idx="373">
                  <c:v>9.3527260531317715</c:v>
                </c:pt>
                <c:pt idx="374">
                  <c:v>9.3580300314741436</c:v>
                </c:pt>
                <c:pt idx="375">
                  <c:v>9.3635605444764725</c:v>
                </c:pt>
                <c:pt idx="376">
                  <c:v>9.3693191745763453</c:v>
                </c:pt>
                <c:pt idx="377">
                  <c:v>9.3753073224985251</c:v>
                </c:pt>
                <c:pt idx="378">
                  <c:v>9.3815261799048582</c:v>
                </c:pt>
                <c:pt idx="379">
                  <c:v>9.3879767016964646</c:v>
                </c:pt>
                <c:pt idx="380">
                  <c:v>9.3946595781084863</c:v>
                </c:pt>
                <c:pt idx="381">
                  <c:v>9.4015752067581921</c:v>
                </c:pt>
                <c:pt idx="382">
                  <c:v>9.4087236648180799</c:v>
                </c:pt>
                <c:pt idx="383">
                  <c:v>9.4161046815151348</c:v>
                </c:pt>
                <c:pt idx="384">
                  <c:v>9.4237176111575174</c:v>
                </c:pt>
                <c:pt idx="385">
                  <c:v>9.4315614069195117</c:v>
                </c:pt>
                <c:pt idx="386">
                  <c:v>9.4396345956202214</c:v>
                </c:pt>
                <c:pt idx="387">
                  <c:v>9.4479352537465768</c:v>
                </c:pt>
                <c:pt idx="388">
                  <c:v>9.4564609849795431</c:v>
                </c:pt>
                <c:pt idx="389">
                  <c:v>9.4652088994895038</c:v>
                </c:pt>
                <c:pt idx="390">
                  <c:v>9.4741755952679512</c:v>
                </c:pt>
                <c:pt idx="391">
                  <c:v>9.4833571417657989</c:v>
                </c:pt>
                <c:pt idx="392">
                  <c:v>9.4927490661010019</c:v>
                </c:pt>
                <c:pt idx="393">
                  <c:v>9.5023463420909984</c:v>
                </c:pt>
                <c:pt idx="394">
                  <c:v>9.5121433823536776</c:v>
                </c:pt>
                <c:pt idx="395">
                  <c:v>9.522134033702498</c:v>
                </c:pt>
                <c:pt idx="396">
                  <c:v>9.5323115760377775</c:v>
                </c:pt>
                <c:pt idx="397">
                  <c:v>9.542668724912744</c:v>
                </c:pt>
                <c:pt idx="398">
                  <c:v>9.5531976379193484</c:v>
                </c:pt>
                <c:pt idx="399">
                  <c:v>9.5638899250049789</c:v>
                </c:pt>
                <c:pt idx="400">
                  <c:v>9.574736662791727</c:v>
                </c:pt>
                <c:pt idx="401">
                  <c:v>9.5857284129277271</c:v>
                </c:pt>
                <c:pt idx="402">
                  <c:v>9.5968552444542539</c:v>
                </c:pt>
                <c:pt idx="403">
                  <c:v>9.6081067601264589</c:v>
                </c:pt>
                <c:pt idx="404">
                  <c:v>9.619472126576099</c:v>
                </c:pt>
                <c:pt idx="405">
                  <c:v>9.6309401081557411</c:v>
                </c:pt>
                <c:pt idx="406">
                  <c:v>9.6424991042559292</c:v>
                </c:pt>
                <c:pt idx="407">
                  <c:v>9.6541371898404975</c:v>
                </c:pt>
                <c:pt idx="408">
                  <c:v>9.6658421588988102</c:v>
                </c:pt>
                <c:pt idx="409">
                  <c:v>9.6776015704738167</c:v>
                </c:pt>
                <c:pt idx="410">
                  <c:v>9.6894027968893113</c:v>
                </c:pt>
                <c:pt idx="411">
                  <c:v>9.7012330737627117</c:v>
                </c:pt>
                <c:pt idx="412">
                  <c:v>9.7130795513698978</c:v>
                </c:pt>
                <c:pt idx="413">
                  <c:v>9.7249293469039007</c:v>
                </c:pt>
                <c:pt idx="414">
                  <c:v>9.7367695971579593</c:v>
                </c:pt>
                <c:pt idx="415">
                  <c:v>9.7485875111570959</c:v>
                </c:pt>
                <c:pt idx="416">
                  <c:v>9.7603704222642147</c:v>
                </c:pt>
                <c:pt idx="417">
                  <c:v>9.7721058392938858</c:v>
                </c:pt>
                <c:pt idx="418">
                  <c:v>9.7837814961830336</c:v>
                </c:pt>
                <c:pt idx="419">
                  <c:v>9.7953853997907547</c:v>
                </c:pt>
                <c:pt idx="420">
                  <c:v>9.8069058754253788</c:v>
                </c:pt>
                <c:pt idx="421">
                  <c:v>9.8183316097335265</c:v>
                </c:pt>
                <c:pt idx="422">
                  <c:v>9.8296516906217715</c:v>
                </c:pt>
                <c:pt idx="423">
                  <c:v>9.8408556439272381</c:v>
                </c:pt>
                <c:pt idx="424">
                  <c:v>9.8519334665933265</c:v>
                </c:pt>
                <c:pt idx="425">
                  <c:v>9.8628756561627728</c:v>
                </c:pt>
                <c:pt idx="426">
                  <c:v>9.8736732364405349</c:v>
                </c:pt>
                <c:pt idx="427">
                  <c:v>9.8843177792329051</c:v>
                </c:pt>
                <c:pt idx="428">
                  <c:v>9.8948014221162968</c:v>
                </c:pt>
                <c:pt idx="429">
                  <c:v>9.9051168822366531</c:v>
                </c:pt>
                <c:pt idx="430">
                  <c:v>9.9152574661810569</c:v>
                </c:pt>
                <c:pt idx="431">
                  <c:v>9.9252170760120233</c:v>
                </c:pt>
                <c:pt idx="432">
                  <c:v>9.9349902115835196</c:v>
                </c:pt>
                <c:pt idx="433">
                  <c:v>9.9445719693009735</c:v>
                </c:pt>
                <c:pt idx="434">
                  <c:v>9.9539580375104251</c:v>
                </c:pt>
                <c:pt idx="435">
                  <c:v>9.9631446887302477</c:v>
                </c:pt>
                <c:pt idx="436">
                  <c:v>9.972128768960367</c:v>
                </c:pt>
                <c:pt idx="437">
                  <c:v>9.9809076843169215</c:v>
                </c:pt>
                <c:pt idx="438">
                  <c:v>9.9894793852540964</c:v>
                </c:pt>
                <c:pt idx="439">
                  <c:v>9.9978423486433172</c:v>
                </c:pt>
                <c:pt idx="440">
                  <c:v>10.00599555797784</c:v>
                </c:pt>
                <c:pt idx="441">
                  <c:v>10.013938481977295</c:v>
                </c:pt>
                <c:pt idx="442">
                  <c:v>10.02167105185606</c:v>
                </c:pt>
                <c:pt idx="443">
                  <c:v>10.02919363751686</c:v>
                </c:pt>
                <c:pt idx="444">
                  <c:v>10.036507022918508</c:v>
                </c:pt>
                <c:pt idx="445">
                  <c:v>10.043612380855825</c:v>
                </c:pt>
                <c:pt idx="446">
                  <c:v>10.050511247374867</c:v>
                </c:pt>
                <c:pt idx="447">
                  <c:v>10.057205496033728</c:v>
                </c:pt>
                <c:pt idx="448">
                  <c:v>10.063697312198453</c:v>
                </c:pt>
                <c:pt idx="449">
                  <c:v>10.069989167551718</c:v>
                </c:pt>
                <c:pt idx="450">
                  <c:v>10.076083794969289</c:v>
                </c:pt>
                <c:pt idx="451">
                  <c:v>10.081984163907634</c:v>
                </c:pt>
                <c:pt idx="452">
                  <c:v>10.087693456420423</c:v>
                </c:pt>
                <c:pt idx="453">
                  <c:v>10.093215043915801</c:v>
                </c:pt>
                <c:pt idx="454">
                  <c:v>10.098552464737637</c:v>
                </c:pt>
                <c:pt idx="455">
                  <c:v>10.103709402649601</c:v>
                </c:pt>
                <c:pt idx="456">
                  <c:v>10.108689666276868</c:v>
                </c:pt>
                <c:pt idx="457">
                  <c:v>10.113497169554215</c:v>
                </c:pt>
                <c:pt idx="458">
                  <c:v>10.118135913210152</c:v>
                </c:pt>
                <c:pt idx="459">
                  <c:v>10.122609967309931</c:v>
                </c:pt>
                <c:pt idx="460">
                  <c:v>10.126923454866111</c:v>
                </c:pt>
                <c:pt idx="461">
                  <c:v>10.131080536518686</c:v>
                </c:pt>
                <c:pt idx="462">
                  <c:v>10.135085396276313</c:v>
                </c:pt>
                <c:pt idx="463">
                  <c:v>10.138942228303618</c:v>
                </c:pt>
                <c:pt idx="464">
                  <c:v>10.142655224734234</c:v>
                </c:pt>
                <c:pt idx="465">
                  <c:v>10.146228564480611</c:v>
                </c:pt>
                <c:pt idx="466">
                  <c:v>10.149666403012015</c:v>
                </c:pt>
                <c:pt idx="467">
                  <c:v>10.15297286306339</c:v>
                </c:pt>
                <c:pt idx="468">
                  <c:v>10.156152026237418</c:v>
                </c:pt>
                <c:pt idx="469">
                  <c:v>10.159207925461837</c:v>
                </c:pt>
                <c:pt idx="470">
                  <c:v>10.162144538255793</c:v>
                </c:pt>
                <c:pt idx="471">
                  <c:v>10.164965780767439</c:v>
                </c:pt>
                <c:pt idx="472">
                  <c:v>10.167675502534422</c:v>
                </c:pt>
                <c:pt idx="473">
                  <c:v>10.170277481928192</c:v>
                </c:pt>
                <c:pt idx="474">
                  <c:v>10.172775422234272</c:v>
                </c:pt>
                <c:pt idx="475">
                  <c:v>10.175172948330031</c:v>
                </c:pt>
                <c:pt idx="476">
                  <c:v>10.177473603915177</c:v>
                </c:pt>
                <c:pt idx="477">
                  <c:v>10.179680849255561</c:v>
                </c:pt>
                <c:pt idx="478">
                  <c:v>10.181798059400615</c:v>
                </c:pt>
                <c:pt idx="479">
                  <c:v>10.18382852283511</c:v>
                </c:pt>
                <c:pt idx="480">
                  <c:v>10.185775440532627</c:v>
                </c:pt>
                <c:pt idx="481">
                  <c:v>10.187641925370754</c:v>
                </c:pt>
                <c:pt idx="482">
                  <c:v>10.189431001878493</c:v>
                </c:pt>
                <c:pt idx="483">
                  <c:v>10.191145606283897</c:v>
                </c:pt>
                <c:pt idx="484">
                  <c:v>10.192788586831497</c:v>
                </c:pt>
                <c:pt idx="485">
                  <c:v>10.194362704342572</c:v>
                </c:pt>
                <c:pt idx="486">
                  <c:v>10.195870632991493</c:v>
                </c:pt>
                <c:pt idx="487">
                  <c:v>10.19731496127417</c:v>
                </c:pt>
                <c:pt idx="488">
                  <c:v>10.198698193145884</c:v>
                </c:pt>
                <c:pt idx="489">
                  <c:v>10.200022749306983</c:v>
                </c:pt>
                <c:pt idx="490">
                  <c:v>10.201290968617814</c:v>
                </c:pt>
                <c:pt idx="491">
                  <c:v>10.202505109622804</c:v>
                </c:pt>
                <c:pt idx="492">
                  <c:v>10.20366735217053</c:v>
                </c:pt>
                <c:pt idx="493">
                  <c:v>10.204779799109755</c:v>
                </c:pt>
                <c:pt idx="494">
                  <c:v>10.205844478052784</c:v>
                </c:pt>
                <c:pt idx="495">
                  <c:v>10.206863343188218</c:v>
                </c:pt>
                <c:pt idx="496">
                  <c:v>10.207838277135808</c:v>
                </c:pt>
                <c:pt idx="497">
                  <c:v>10.208771092829663</c:v>
                </c:pt>
                <c:pt idx="498">
                  <c:v>10.209663535421942</c:v>
                </c:pt>
                <c:pt idx="499">
                  <c:v>10.210517284198941</c:v>
                </c:pt>
                <c:pt idx="500">
                  <c:v>10.211333954499269</c:v>
                </c:pt>
                <c:pt idx="501">
                  <c:v>10.212115099630331</c:v>
                </c:pt>
                <c:pt idx="502">
                  <c:v>10.212862212775537</c:v>
                </c:pt>
                <c:pt idx="503">
                  <c:v>10.213576728885823</c:v>
                </c:pt>
                <c:pt idx="504">
                  <c:v>10.214260026553013</c:v>
                </c:pt>
                <c:pt idx="505">
                  <c:v>10.214913429858779</c:v>
                </c:pt>
                <c:pt idx="506">
                  <c:v>10.215538210196387</c:v>
                </c:pt>
                <c:pt idx="507">
                  <c:v>10.216135588062329</c:v>
                </c:pt>
                <c:pt idx="508">
                  <c:v>10.216706734814897</c:v>
                </c:pt>
                <c:pt idx="509">
                  <c:v>10.217252774397195</c:v>
                </c:pt>
                <c:pt idx="510">
                  <c:v>10.217774785022799</c:v>
                </c:pt>
                <c:pt idx="511">
                  <c:v>10.218273800823333</c:v>
                </c:pt>
                <c:pt idx="512">
                  <c:v>10.218750813454811</c:v>
                </c:pt>
                <c:pt idx="513">
                  <c:v>10.2192067736644</c:v>
                </c:pt>
                <c:pt idx="514">
                  <c:v>10.219642592814655</c:v>
                </c:pt>
                <c:pt idx="515">
                  <c:v>10.220059144365969</c:v>
                </c:pt>
                <c:pt idx="516">
                  <c:v>10.220457265316549</c:v>
                </c:pt>
                <c:pt idx="517">
                  <c:v>10.220837757599678</c:v>
                </c:pt>
                <c:pt idx="518">
                  <c:v>10.221201389439365</c:v>
                </c:pt>
                <c:pt idx="519">
                  <c:v>10.221548896662902</c:v>
                </c:pt>
                <c:pt idx="520">
                  <c:v>10.221880983972527</c:v>
                </c:pt>
                <c:pt idx="521">
                  <c:v>10.222198326174428</c:v>
                </c:pt>
                <c:pt idx="522">
                  <c:v>10.222501569368337</c:v>
                </c:pt>
                <c:pt idx="523">
                  <c:v>10.222791332095902</c:v>
                </c:pt>
                <c:pt idx="524">
                  <c:v>10.223068206450545</c:v>
                </c:pt>
                <c:pt idx="525">
                  <c:v>10.223332759147063</c:v>
                </c:pt>
                <c:pt idx="526">
                  <c:v>10.223585532554612</c:v>
                </c:pt>
                <c:pt idx="527">
                  <c:v>10.22382704569287</c:v>
                </c:pt>
                <c:pt idx="528">
                  <c:v>10.22405779518953</c:v>
                </c:pt>
                <c:pt idx="529">
                  <c:v>10.224278256206116</c:v>
                </c:pt>
                <c:pt idx="530">
                  <c:v>10.224488883326394</c:v>
                </c:pt>
                <c:pt idx="531">
                  <c:v>10.224690111413071</c:v>
                </c:pt>
                <c:pt idx="532">
                  <c:v>10.224882356430467</c:v>
                </c:pt>
                <c:pt idx="533">
                  <c:v>10.22506601623774</c:v>
                </c:pt>
                <c:pt idx="534">
                  <c:v>10.225241471349587</c:v>
                </c:pt>
                <c:pt idx="535">
                  <c:v>10.225409085668035</c:v>
                </c:pt>
                <c:pt idx="536">
                  <c:v>10.225569207185714</c:v>
                </c:pt>
                <c:pt idx="537">
                  <c:v>10.225722168661072</c:v>
                </c:pt>
                <c:pt idx="538">
                  <c:v>10.225868288266597</c:v>
                </c:pt>
                <c:pt idx="539">
                  <c:v>10.22600787021168</c:v>
                </c:pt>
                <c:pt idx="540">
                  <c:v>10.226141205339452</c:v>
                </c:pt>
                <c:pt idx="541">
                  <c:v>10.226268571700325</c:v>
                </c:pt>
              </c:numCache>
            </c:numRef>
          </c:yVal>
          <c:smooth val="1"/>
          <c:extLst>
            <c:ext xmlns:c16="http://schemas.microsoft.com/office/drawing/2014/chart" uri="{C3380CC4-5D6E-409C-BE32-E72D297353CC}">
              <c16:uniqueId val="{00000000-F11A-4C29-9835-786B9CEC5C6A}"/>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76.906653564121243</c:v>
                </c:pt>
                <c:pt idx="1">
                  <c:v>76.61561177602691</c:v>
                </c:pt>
                <c:pt idx="2">
                  <c:v>76.31873553346874</c:v>
                </c:pt>
                <c:pt idx="3">
                  <c:v>76.015950496521839</c:v>
                </c:pt>
                <c:pt idx="4">
                  <c:v>75.707184324672284</c:v>
                </c:pt>
                <c:pt idx="5">
                  <c:v>75.392366918069925</c:v>
                </c:pt>
                <c:pt idx="6">
                  <c:v>75.071430671047437</c:v>
                </c:pt>
                <c:pt idx="7">
                  <c:v>74.744310738010739</c:v>
                </c:pt>
                <c:pt idx="8">
                  <c:v>74.410945311743419</c:v>
                </c:pt>
                <c:pt idx="9">
                  <c:v>74.071275914102628</c:v>
                </c:pt>
                <c:pt idx="10">
                  <c:v>73.725247699010794</c:v>
                </c:pt>
                <c:pt idx="11">
                  <c:v>73.372809767563126</c:v>
                </c:pt>
                <c:pt idx="12">
                  <c:v>73.013915494982982</c:v>
                </c:pt>
                <c:pt idx="13">
                  <c:v>72.648522869057558</c:v>
                </c:pt>
                <c:pt idx="14">
                  <c:v>72.276594839576418</c:v>
                </c:pt>
                <c:pt idx="15">
                  <c:v>71.898099678182518</c:v>
                </c:pt>
                <c:pt idx="16">
                  <c:v>71.513011347918805</c:v>
                </c:pt>
                <c:pt idx="17">
                  <c:v>71.121309881620874</c:v>
                </c:pt>
                <c:pt idx="18">
                  <c:v>70.722981768164288</c:v>
                </c:pt>
                <c:pt idx="19">
                  <c:v>70.318020345430099</c:v>
                </c:pt>
                <c:pt idx="20">
                  <c:v>69.906426198694987</c:v>
                </c:pt>
                <c:pt idx="21">
                  <c:v>69.488207562991619</c:v>
                </c:pt>
                <c:pt idx="22">
                  <c:v>69.063380727827678</c:v>
                </c:pt>
                <c:pt idx="23">
                  <c:v>68.631970442471641</c:v>
                </c:pt>
                <c:pt idx="24">
                  <c:v>68.194010319862741</c:v>
                </c:pt>
                <c:pt idx="25">
                  <c:v>67.749543237016596</c:v>
                </c:pt>
                <c:pt idx="26">
                  <c:v>67.298621729651302</c:v>
                </c:pt>
                <c:pt idx="27">
                  <c:v>66.841308378583804</c:v>
                </c:pt>
                <c:pt idx="28">
                  <c:v>66.377676185306996</c:v>
                </c:pt>
                <c:pt idx="29">
                  <c:v>65.907808934011214</c:v>
                </c:pt>
                <c:pt idx="30">
                  <c:v>65.431801537189017</c:v>
                </c:pt>
                <c:pt idx="31">
                  <c:v>64.949760361851943</c:v>
                </c:pt>
                <c:pt idx="32">
                  <c:v>64.461803533300667</c:v>
                </c:pt>
                <c:pt idx="33">
                  <c:v>63.96806121332154</c:v>
                </c:pt>
                <c:pt idx="34">
                  <c:v>63.468675849643148</c:v>
                </c:pt>
                <c:pt idx="35">
                  <c:v>62.963802393483832</c:v>
                </c:pt>
                <c:pt idx="36">
                  <c:v>62.453608482035413</c:v>
                </c:pt>
                <c:pt idx="37">
                  <c:v>61.938274582800425</c:v>
                </c:pt>
                <c:pt idx="38">
                  <c:v>61.417994096788377</c:v>
                </c:pt>
                <c:pt idx="39">
                  <c:v>60.892973417726203</c:v>
                </c:pt>
                <c:pt idx="40">
                  <c:v>60.363431944612074</c:v>
                </c:pt>
                <c:pt idx="41">
                  <c:v>59.829602045170347</c:v>
                </c:pt>
                <c:pt idx="42">
                  <c:v>59.291728968035926</c:v>
                </c:pt>
                <c:pt idx="43">
                  <c:v>58.750070701803288</c:v>
                </c:pt>
                <c:pt idx="44">
                  <c:v>58.204897779429459</c:v>
                </c:pt>
                <c:pt idx="45">
                  <c:v>57.656493026874749</c:v>
                </c:pt>
                <c:pt idx="46">
                  <c:v>57.105151255292277</c:v>
                </c:pt>
                <c:pt idx="47">
                  <c:v>56.551178896535276</c:v>
                </c:pt>
                <c:pt idx="48">
                  <c:v>55.994893582241268</c:v>
                </c:pt>
                <c:pt idx="49">
                  <c:v>55.436623667263646</c:v>
                </c:pt>
                <c:pt idx="50">
                  <c:v>54.876707698737746</c:v>
                </c:pt>
                <c:pt idx="51">
                  <c:v>54.315493832609306</c:v>
                </c:pt>
                <c:pt idx="52">
                  <c:v>53.753339199979912</c:v>
                </c:pt>
                <c:pt idx="53">
                  <c:v>53.190609226145781</c:v>
                </c:pt>
                <c:pt idx="54">
                  <c:v>52.62767690572003</c:v>
                </c:pt>
                <c:pt idx="55">
                  <c:v>52.064922037701827</c:v>
                </c:pt>
                <c:pt idx="56">
                  <c:v>51.502730424813976</c:v>
                </c:pt>
                <c:pt idx="57">
                  <c:v>50.94149304182703</c:v>
                </c:pt>
                <c:pt idx="58">
                  <c:v>50.381605177957937</c:v>
                </c:pt>
                <c:pt idx="59">
                  <c:v>49.823465558727946</c:v>
                </c:pt>
                <c:pt idx="60">
                  <c:v>49.267475452906062</c:v>
                </c:pt>
                <c:pt idx="61">
                  <c:v>48.714037770350693</c:v>
                </c:pt>
                <c:pt idx="62">
                  <c:v>48.163556156660981</c:v>
                </c:pt>
                <c:pt idx="63">
                  <c:v>47.616434090585585</c:v>
                </c:pt>
                <c:pt idx="64">
                  <c:v>47.073073990117578</c:v>
                </c:pt>
                <c:pt idx="65">
                  <c:v>46.533876333077899</c:v>
                </c:pt>
                <c:pt idx="66">
                  <c:v>45.999238797829349</c:v>
                </c:pt>
                <c:pt idx="67">
                  <c:v>45.46955542951288</c:v>
                </c:pt>
                <c:pt idx="68">
                  <c:v>44.945215836908858</c:v>
                </c:pt>
                <c:pt idx="69">
                  <c:v>44.426604424648048</c:v>
                </c:pt>
                <c:pt idx="70">
                  <c:v>43.914099665108495</c:v>
                </c:pt>
                <c:pt idx="71">
                  <c:v>43.4080734138726</c:v>
                </c:pt>
                <c:pt idx="72">
                  <c:v>42.908890272140383</c:v>
                </c:pt>
                <c:pt idx="73">
                  <c:v>42.416906998984736</c:v>
                </c:pt>
                <c:pt idx="74">
                  <c:v>41.932471975800603</c:v>
                </c:pt>
                <c:pt idx="75">
                  <c:v>41.455924724776899</c:v>
                </c:pt>
                <c:pt idx="76">
                  <c:v>40.987595482662755</c:v>
                </c:pt>
                <c:pt idx="77">
                  <c:v>40.527804830591194</c:v>
                </c:pt>
                <c:pt idx="78">
                  <c:v>40.07686338018496</c:v>
                </c:pt>
                <c:pt idx="79">
                  <c:v>39.635071515689773</c:v>
                </c:pt>
                <c:pt idx="80">
                  <c:v>39.202719191396987</c:v>
                </c:pt>
                <c:pt idx="81">
                  <c:v>38.78008578318989</c:v>
                </c:pt>
                <c:pt idx="82">
                  <c:v>38.367439992638062</c:v>
                </c:pt>
                <c:pt idx="83">
                  <c:v>37.965039801700556</c:v>
                </c:pt>
                <c:pt idx="84">
                  <c:v>37.573132475780568</c:v>
                </c:pt>
                <c:pt idx="85">
                  <c:v>37.191954612586315</c:v>
                </c:pt>
                <c:pt idx="86">
                  <c:v>36.821732234018583</c:v>
                </c:pt>
                <c:pt idx="87">
                  <c:v>36.46268091811362</c:v>
                </c:pt>
                <c:pt idx="88">
                  <c:v>36.115005967910264</c:v>
                </c:pt>
                <c:pt idx="89">
                  <c:v>35.778902614003684</c:v>
                </c:pt>
                <c:pt idx="90">
                  <c:v>35.454556247470933</c:v>
                </c:pt>
                <c:pt idx="91">
                  <c:v>35.142142679816942</c:v>
                </c:pt>
                <c:pt idx="92">
                  <c:v>34.841828426584513</c:v>
                </c:pt>
                <c:pt idx="93">
                  <c:v>34.553771011297016</c:v>
                </c:pt>
                <c:pt idx="94">
                  <c:v>34.278119286454597</c:v>
                </c:pt>
                <c:pt idx="95">
                  <c:v>34.015013768382161</c:v>
                </c:pt>
                <c:pt idx="96">
                  <c:v>33.764586982822181</c:v>
                </c:pt>
                <c:pt idx="97">
                  <c:v>33.526963818280507</c:v>
                </c:pt>
                <c:pt idx="98">
                  <c:v>33.302261884258115</c:v>
                </c:pt>
                <c:pt idx="99">
                  <c:v>33.090591871644925</c:v>
                </c:pt>
                <c:pt idx="100">
                  <c:v>32.892057912694455</c:v>
                </c:pt>
                <c:pt idx="101">
                  <c:v>32.70675793815159</c:v>
                </c:pt>
                <c:pt idx="102">
                  <c:v>32.534784029264173</c:v>
                </c:pt>
                <c:pt idx="103">
                  <c:v>32.376222762559728</c:v>
                </c:pt>
                <c:pt idx="104">
                  <c:v>32.231155545434476</c:v>
                </c:pt>
                <c:pt idx="105">
                  <c:v>32.099658940745634</c:v>
                </c:pt>
                <c:pt idx="106">
                  <c:v>31.981804978755587</c:v>
                </c:pt>
                <c:pt idx="107">
                  <c:v>31.877661454921448</c:v>
                </c:pt>
                <c:pt idx="108">
                  <c:v>31.787292212161208</c:v>
                </c:pt>
                <c:pt idx="109">
                  <c:v>31.710757406365168</c:v>
                </c:pt>
                <c:pt idx="110">
                  <c:v>31.648113754049952</c:v>
                </c:pt>
                <c:pt idx="111">
                  <c:v>31.599414761171307</c:v>
                </c:pt>
                <c:pt idx="112">
                  <c:v>31.564710932230081</c:v>
                </c:pt>
                <c:pt idx="113">
                  <c:v>31.54404995891344</c:v>
                </c:pt>
                <c:pt idx="114">
                  <c:v>31.537476887612691</c:v>
                </c:pt>
                <c:pt idx="115">
                  <c:v>31.54503426526432</c:v>
                </c:pt>
                <c:pt idx="116">
                  <c:v>31.566762263039667</c:v>
                </c:pt>
                <c:pt idx="117">
                  <c:v>31.60269877750892</c:v>
                </c:pt>
                <c:pt idx="118">
                  <c:v>31.652879508977797</c:v>
                </c:pt>
                <c:pt idx="119">
                  <c:v>31.717338016778083</c:v>
                </c:pt>
                <c:pt idx="120">
                  <c:v>31.796105751373322</c:v>
                </c:pt>
                <c:pt idx="121">
                  <c:v>31.889212063214117</c:v>
                </c:pt>
                <c:pt idx="122">
                  <c:v>31.99668418834748</c:v>
                </c:pt>
                <c:pt idx="123">
                  <c:v>32.118547210870389</c:v>
                </c:pt>
                <c:pt idx="124">
                  <c:v>32.254824002384048</c:v>
                </c:pt>
                <c:pt idx="125">
                  <c:v>32.405535138688286</c:v>
                </c:pt>
                <c:pt idx="126">
                  <c:v>32.570698794032396</c:v>
                </c:pt>
                <c:pt idx="127">
                  <c:v>32.750330613326057</c:v>
                </c:pt>
                <c:pt idx="128">
                  <c:v>32.944443562799137</c:v>
                </c:pt>
                <c:pt idx="129">
                  <c:v>33.15304775969615</c:v>
                </c:pt>
                <c:pt idx="130">
                  <c:v>33.376150281679386</c:v>
                </c:pt>
                <c:pt idx="131">
                  <c:v>33.613754956733999</c:v>
                </c:pt>
                <c:pt idx="132">
                  <c:v>33.86586213446234</c:v>
                </c:pt>
                <c:pt idx="133">
                  <c:v>34.132468439784176</c:v>
                </c:pt>
                <c:pt idx="134">
                  <c:v>34.413566510173119</c:v>
                </c:pt>
                <c:pt idx="135">
                  <c:v>34.709144717695899</c:v>
                </c:pt>
                <c:pt idx="136">
                  <c:v>35.019186877250959</c:v>
                </c:pt>
                <c:pt idx="137">
                  <c:v>35.343671942547523</c:v>
                </c:pt>
                <c:pt idx="138">
                  <c:v>35.682573691508296</c:v>
                </c:pt>
                <c:pt idx="139">
                  <c:v>36.035860402936443</c:v>
                </c:pt>
                <c:pt idx="140">
                  <c:v>36.403494526427096</c:v>
                </c:pt>
                <c:pt idx="141">
                  <c:v>36.785432347672312</c:v>
                </c:pt>
                <c:pt idx="142">
                  <c:v>37.181623651449527</c:v>
                </c:pt>
                <c:pt idx="143">
                  <c:v>37.592011384742463</c:v>
                </c:pt>
                <c:pt idx="144">
                  <c:v>38.016531322586708</c:v>
                </c:pt>
                <c:pt idx="145">
                  <c:v>38.455111739373528</c:v>
                </c:pt>
                <c:pt idx="146">
                  <c:v>38.907673088473459</c:v>
                </c:pt>
                <c:pt idx="147">
                  <c:v>39.374127693162045</c:v>
                </c:pt>
                <c:pt idx="148">
                  <c:v>39.854379451928914</c:v>
                </c:pt>
                <c:pt idx="149">
                  <c:v>40.348323561335889</c:v>
                </c:pt>
                <c:pt idx="150">
                  <c:v>40.855846259652743</c:v>
                </c:pt>
                <c:pt idx="151">
                  <c:v>41.376824594528962</c:v>
                </c:pt>
                <c:pt idx="152">
                  <c:v>41.911126217977767</c:v>
                </c:pt>
                <c:pt idx="153">
                  <c:v>42.458609211909163</c:v>
                </c:pt>
                <c:pt idx="154">
                  <c:v>43.019121947403448</c:v>
                </c:pt>
                <c:pt idx="155">
                  <c:v>43.592502980811439</c:v>
                </c:pt>
                <c:pt idx="156">
                  <c:v>44.178580989630028</c:v>
                </c:pt>
                <c:pt idx="157">
                  <c:v>44.777174750932673</c:v>
                </c:pt>
                <c:pt idx="158">
                  <c:v>45.388093164898514</c:v>
                </c:pt>
                <c:pt idx="159">
                  <c:v>46.011135325735744</c:v>
                </c:pt>
                <c:pt idx="160">
                  <c:v>46.646090641975938</c:v>
                </c:pt>
                <c:pt idx="161">
                  <c:v>47.292739007766464</c:v>
                </c:pt>
                <c:pt idx="162">
                  <c:v>47.950851026404365</c:v>
                </c:pt>
                <c:pt idx="163">
                  <c:v>48.62018828692505</c:v>
                </c:pt>
                <c:pt idx="164">
                  <c:v>49.300503694083972</c:v>
                </c:pt>
                <c:pt idx="165">
                  <c:v>49.99154185160247</c:v>
                </c:pt>
                <c:pt idx="166">
                  <c:v>50.693039498002385</c:v>
                </c:pt>
                <c:pt idx="167">
                  <c:v>51.404725993846881</c:v>
                </c:pt>
                <c:pt idx="168">
                  <c:v>52.126323858637939</c:v>
                </c:pt>
                <c:pt idx="169">
                  <c:v>52.857549355084224</c:v>
                </c:pt>
                <c:pt idx="170">
                  <c:v>53.598113117902898</c:v>
                </c:pt>
                <c:pt idx="171">
                  <c:v>54.347720823783646</c:v>
                </c:pt>
                <c:pt idx="172">
                  <c:v>55.106073898641618</c:v>
                </c:pt>
                <c:pt idx="173">
                  <c:v>55.872870257792634</c:v>
                </c:pt>
                <c:pt idx="174">
                  <c:v>56.647805074244268</c:v>
                </c:pt>
                <c:pt idx="175">
                  <c:v>57.43057156990514</c:v>
                </c:pt>
                <c:pt idx="176">
                  <c:v>58.220861824155115</c:v>
                </c:pt>
                <c:pt idx="177">
                  <c:v>59.01836759394584</c:v>
                </c:pt>
                <c:pt idx="178">
                  <c:v>59.82278113936605</c:v>
                </c:pt>
                <c:pt idx="179">
                  <c:v>60.633796048462841</c:v>
                </c:pt>
                <c:pt idx="180">
                  <c:v>61.451108055016931</c:v>
                </c:pt>
                <c:pt idx="181">
                  <c:v>62.274415842966995</c:v>
                </c:pt>
                <c:pt idx="182">
                  <c:v>63.103421831234044</c:v>
                </c:pt>
                <c:pt idx="183">
                  <c:v>63.93783293283316</c:v>
                </c:pt>
                <c:pt idx="184">
                  <c:v>64.777361282369995</c:v>
                </c:pt>
                <c:pt idx="185">
                  <c:v>65.621724926277508</c:v>
                </c:pt>
                <c:pt idx="186">
                  <c:v>66.470648470486623</c:v>
                </c:pt>
                <c:pt idx="187">
                  <c:v>67.323863680607786</c:v>
                </c:pt>
                <c:pt idx="188">
                  <c:v>68.181110030134903</c:v>
                </c:pt>
                <c:pt idx="189">
                  <c:v>69.042135192656445</c:v>
                </c:pt>
                <c:pt idx="190">
                  <c:v>69.906695474575841</c:v>
                </c:pt>
                <c:pt idx="191">
                  <c:v>70.774556185358819</c:v>
                </c:pt>
                <c:pt idx="192">
                  <c:v>71.645491942903604</c:v>
                </c:pt>
                <c:pt idx="193">
                  <c:v>72.519286912168553</c:v>
                </c:pt>
                <c:pt idx="194">
                  <c:v>73.395734975770196</c:v>
                </c:pt>
                <c:pt idx="195">
                  <c:v>74.274639835815876</c:v>
                </c:pt>
                <c:pt idx="196">
                  <c:v>75.155815046787282</c:v>
                </c:pt>
                <c:pt idx="197">
                  <c:v>76.039083979819551</c:v>
                </c:pt>
                <c:pt idx="198">
                  <c:v>76.924279719225709</c:v>
                </c:pt>
                <c:pt idx="199">
                  <c:v>77.81124489260624</c:v>
                </c:pt>
                <c:pt idx="200">
                  <c:v>78.699831436322441</c:v>
                </c:pt>
                <c:pt idx="201">
                  <c:v>79.589900298545302</c:v>
                </c:pt>
                <c:pt idx="202">
                  <c:v>80.481321082465612</c:v>
                </c:pt>
                <c:pt idx="203">
                  <c:v>81.373971632611315</c:v>
                </c:pt>
                <c:pt idx="204">
                  <c:v>82.267737567528769</c:v>
                </c:pt>
                <c:pt idx="205">
                  <c:v>83.162511762367046</c:v>
                </c:pt>
                <c:pt idx="206">
                  <c:v>84.05819378515794</c:v>
                </c:pt>
                <c:pt idx="207">
                  <c:v>84.954689290796594</c:v>
                </c:pt>
                <c:pt idx="208">
                  <c:v>85.851909376914648</c:v>
                </c:pt>
                <c:pt idx="209">
                  <c:v>86.74976990600662</c:v>
                </c:pt>
                <c:pt idx="210">
                  <c:v>87.648190798289136</c:v>
                </c:pt>
                <c:pt idx="211">
                  <c:v>88.547095299895915</c:v>
                </c:pt>
                <c:pt idx="212">
                  <c:v>89.446409231094819</c:v>
                </c:pt>
                <c:pt idx="213">
                  <c:v>90.34606021928083</c:v>
                </c:pt>
                <c:pt idx="214">
                  <c:v>91.245976921551588</c:v>
                </c:pt>
                <c:pt idx="215">
                  <c:v>92.146088241706877</c:v>
                </c:pt>
                <c:pt idx="216">
                  <c:v>93.046322546528728</c:v>
                </c:pt>
                <c:pt idx="217">
                  <c:v>93.946606886201266</c:v>
                </c:pt>
                <c:pt idx="218">
                  <c:v>94.846866223720099</c:v>
                </c:pt>
                <c:pt idx="219">
                  <c:v>95.747022678104003</c:v>
                </c:pt>
                <c:pt idx="220">
                  <c:v>96.646994786185758</c:v>
                </c:pt>
                <c:pt idx="221">
                  <c:v>97.546696787686983</c:v>
                </c:pt>
                <c:pt idx="222">
                  <c:v>98.446037938202309</c:v>
                </c:pt>
                <c:pt idx="223">
                  <c:v>99.344921854618192</c:v>
                </c:pt>
                <c:pt idx="224">
                  <c:v>100.24324589735517</c:v>
                </c:pt>
                <c:pt idx="225">
                  <c:v>101.14090059368255</c:v>
                </c:pt>
                <c:pt idx="226">
                  <c:v>102.0377691061661</c:v>
                </c:pt>
                <c:pt idx="227">
                  <c:v>102.93372675010339</c:v>
                </c:pt>
                <c:pt idx="228">
                  <c:v>103.82864056356379</c:v>
                </c:pt>
                <c:pt idx="229">
                  <c:v>104.72236893338081</c:v>
                </c:pt>
                <c:pt idx="230">
                  <c:v>105.61476128012224</c:v>
                </c:pt>
                <c:pt idx="231">
                  <c:v>106.5056578047504</c:v>
                </c:pt>
                <c:pt idx="232">
                  <c:v>107.39488929927776</c:v>
                </c:pt>
                <c:pt idx="233">
                  <c:v>108.28227702334019</c:v>
                </c:pt>
                <c:pt idx="234">
                  <c:v>109.16763264814865</c:v>
                </c:pt>
                <c:pt idx="235">
                  <c:v>110.05075826881699</c:v>
                </c:pt>
                <c:pt idx="236">
                  <c:v>110.93144648555921</c:v>
                </c:pt>
                <c:pt idx="237">
                  <c:v>111.80948055372491</c:v>
                </c:pt>
                <c:pt idx="238">
                  <c:v>112.68463460209918</c:v>
                </c:pt>
                <c:pt idx="239">
                  <c:v>113.55667391833327</c:v>
                </c:pt>
                <c:pt idx="240">
                  <c:v>114.42535529981288</c:v>
                </c:pt>
                <c:pt idx="241">
                  <c:v>115.29042746770452</c:v>
                </c:pt>
                <c:pt idx="242">
                  <c:v>116.15163154136006</c:v>
                </c:pt>
                <c:pt idx="243">
                  <c:v>117.00870156972286</c:v>
                </c:pt>
                <c:pt idx="244">
                  <c:v>117.86136511585774</c:v>
                </c:pt>
                <c:pt idx="245">
                  <c:v>118.70934389023921</c:v>
                </c:pt>
                <c:pt idx="246">
                  <c:v>119.55235442798352</c:v>
                </c:pt>
                <c:pt idx="247">
                  <c:v>120.39010880480625</c:v>
                </c:pt>
                <c:pt idx="248">
                  <c:v>121.22231538614174</c:v>
                </c:pt>
                <c:pt idx="249">
                  <c:v>122.04867960356374</c:v>
                </c:pt>
                <c:pt idx="250">
                  <c:v>122.86890475242828</c:v>
                </c:pt>
                <c:pt idx="251">
                  <c:v>123.68269280449569</c:v>
                </c:pt>
                <c:pt idx="252">
                  <c:v>124.48974522920453</c:v>
                </c:pt>
                <c:pt idx="253">
                  <c:v>125.28976381725785</c:v>
                </c:pt>
                <c:pt idx="254">
                  <c:v>126.08245150023954</c:v>
                </c:pt>
                <c:pt idx="255">
                  <c:v>126.86751316010819</c:v>
                </c:pt>
                <c:pt idx="256">
                  <c:v>127.64465642261536</c:v>
                </c:pt>
                <c:pt idx="257">
                  <c:v>128.41359242896789</c:v>
                </c:pt>
                <c:pt idx="258">
                  <c:v>129.17403658036653</c:v>
                </c:pt>
                <c:pt idx="259">
                  <c:v>129.92570925044234</c:v>
                </c:pt>
                <c:pt idx="260">
                  <c:v>130.66833646103777</c:v>
                </c:pt>
                <c:pt idx="261">
                  <c:v>131.40165051724986</c:v>
                </c:pt>
                <c:pt idx="262">
                  <c:v>132.12539059813994</c:v>
                </c:pt>
                <c:pt idx="263">
                  <c:v>132.83930330005936</c:v>
                </c:pt>
                <c:pt idx="264">
                  <c:v>133.54314313005514</c:v>
                </c:pt>
                <c:pt idx="265">
                  <c:v>134.236672947383</c:v>
                </c:pt>
                <c:pt idx="266">
                  <c:v>134.91966435168723</c:v>
                </c:pt>
                <c:pt idx="267">
                  <c:v>135.591898016947</c:v>
                </c:pt>
                <c:pt idx="268">
                  <c:v>136.25316397080377</c:v>
                </c:pt>
                <c:pt idx="269">
                  <c:v>136.90326181937758</c:v>
                </c:pt>
                <c:pt idx="270">
                  <c:v>137.54200091815588</c:v>
                </c:pt>
                <c:pt idx="271">
                  <c:v>138.16920048996013</c:v>
                </c:pt>
                <c:pt idx="272">
                  <c:v>138.78468969139655</c:v>
                </c:pt>
                <c:pt idx="273">
                  <c:v>139.38830762956007</c:v>
                </c:pt>
                <c:pt idx="274">
                  <c:v>139.97990333106267</c:v>
                </c:pt>
                <c:pt idx="275">
                  <c:v>140.55933566573884</c:v>
                </c:pt>
                <c:pt idx="276">
                  <c:v>141.12647322760111</c:v>
                </c:pt>
                <c:pt idx="277">
                  <c:v>141.68119417580607</c:v>
                </c:pt>
                <c:pt idx="278">
                  <c:v>142.22338603853197</c:v>
                </c:pt>
                <c:pt idx="279">
                  <c:v>142.75294548276844</c:v>
                </c:pt>
                <c:pt idx="280">
                  <c:v>143.2697780530838</c:v>
                </c:pt>
                <c:pt idx="281">
                  <c:v>143.77379788246111</c:v>
                </c:pt>
                <c:pt idx="282">
                  <c:v>144.26492737828642</c:v>
                </c:pt>
                <c:pt idx="283">
                  <c:v>144.74309688653602</c:v>
                </c:pt>
                <c:pt idx="284">
                  <c:v>145.20824433715615</c:v>
                </c:pt>
                <c:pt idx="285">
                  <c:v>145.66031487352339</c:v>
                </c:pt>
                <c:pt idx="286">
                  <c:v>146.09926046878965</c:v>
                </c:pt>
                <c:pt idx="287">
                  <c:v>146.5250395317783</c:v>
                </c:pt>
                <c:pt idx="288">
                  <c:v>146.9376165049672</c:v>
                </c:pt>
                <c:pt idx="289">
                  <c:v>147.3369614569508</c:v>
                </c:pt>
                <c:pt idx="290">
                  <c:v>147.72304967161483</c:v>
                </c:pt>
                <c:pt idx="291">
                  <c:v>148.09586123609901</c:v>
                </c:pt>
                <c:pt idx="292">
                  <c:v>148.45538062946849</c:v>
                </c:pt>
                <c:pt idx="293">
                  <c:v>148.80159631384245</c:v>
                </c:pt>
                <c:pt idx="294">
                  <c:v>149.13450032957445</c:v>
                </c:pt>
                <c:pt idx="295">
                  <c:v>149.45408789592463</c:v>
                </c:pt>
                <c:pt idx="296">
                  <c:v>149.76035701850262</c:v>
                </c:pt>
                <c:pt idx="297">
                  <c:v>150.05330810461962</c:v>
                </c:pt>
                <c:pt idx="298">
                  <c:v>150.33294358754981</c:v>
                </c:pt>
                <c:pt idx="299">
                  <c:v>150.59926756055768</c:v>
                </c:pt>
                <c:pt idx="300">
                  <c:v>150.85228542143855</c:v>
                </c:pt>
                <c:pt idx="301">
                  <c:v>151.09200352819082</c:v>
                </c:pt>
                <c:pt idx="302">
                  <c:v>151.31842886633663</c:v>
                </c:pt>
                <c:pt idx="303">
                  <c:v>151.53156872830817</c:v>
                </c:pt>
                <c:pt idx="304">
                  <c:v>151.73143040522999</c:v>
                </c:pt>
                <c:pt idx="305">
                  <c:v>151.9180208913381</c:v>
                </c:pt>
                <c:pt idx="306">
                  <c:v>152.09134660121799</c:v>
                </c:pt>
                <c:pt idx="307">
                  <c:v>152.25141309996582</c:v>
                </c:pt>
                <c:pt idx="308">
                  <c:v>152.39822484633237</c:v>
                </c:pt>
                <c:pt idx="309">
                  <c:v>152.53178494885515</c:v>
                </c:pt>
                <c:pt idx="310">
                  <c:v>152.65209493494518</c:v>
                </c:pt>
                <c:pt idx="311">
                  <c:v>152.75915453286447</c:v>
                </c:pt>
                <c:pt idx="312">
                  <c:v>152.8529614664964</c:v>
                </c:pt>
                <c:pt idx="313">
                  <c:v>152.93351126279984</c:v>
                </c:pt>
                <c:pt idx="314">
                  <c:v>153.00079707181527</c:v>
                </c:pt>
                <c:pt idx="315">
                  <c:v>153.05480949908525</c:v>
                </c:pt>
                <c:pt idx="316">
                  <c:v>153.0955364503487</c:v>
                </c:pt>
                <c:pt idx="317">
                  <c:v>153.12296298836264</c:v>
                </c:pt>
                <c:pt idx="318">
                  <c:v>153.13707120171932</c:v>
                </c:pt>
                <c:pt idx="319">
                  <c:v>153.13784008552483</c:v>
                </c:pt>
                <c:pt idx="320">
                  <c:v>153.12524543382304</c:v>
                </c:pt>
                <c:pt idx="321">
                  <c:v>153.09925974366482</c:v>
                </c:pt>
                <c:pt idx="322">
                  <c:v>153.05985213073427</c:v>
                </c:pt>
                <c:pt idx="323">
                  <c:v>153.00698825647328</c:v>
                </c:pt>
                <c:pt idx="324">
                  <c:v>152.94063026666049</c:v>
                </c:pt>
                <c:pt idx="325">
                  <c:v>152.86073674143057</c:v>
                </c:pt>
                <c:pt idx="326">
                  <c:v>152.76726265674731</c:v>
                </c:pt>
                <c:pt idx="327">
                  <c:v>152.66015935736903</c:v>
                </c:pt>
                <c:pt idx="328">
                  <c:v>152.53937454137724</c:v>
                </c:pt>
                <c:pt idx="329">
                  <c:v>152.40485225637528</c:v>
                </c:pt>
                <c:pt idx="330">
                  <c:v>152.25653290747982</c:v>
                </c:pt>
                <c:pt idx="331">
                  <c:v>152.09435327728951</c:v>
                </c:pt>
                <c:pt idx="332">
                  <c:v>151.91824655801497</c:v>
                </c:pt>
                <c:pt idx="333">
                  <c:v>151.72814239601556</c:v>
                </c:pt>
                <c:pt idx="334">
                  <c:v>151.52396694901194</c:v>
                </c:pt>
                <c:pt idx="335">
                  <c:v>151.3056429562688</c:v>
                </c:pt>
                <c:pt idx="336">
                  <c:v>151.07308982209668</c:v>
                </c:pt>
                <c:pt idx="337">
                  <c:v>150.82622371303398</c:v>
                </c:pt>
                <c:pt idx="338">
                  <c:v>150.56495766911522</c:v>
                </c:pt>
                <c:pt idx="339">
                  <c:v>150.2892017296607</c:v>
                </c:pt>
                <c:pt idx="340">
                  <c:v>149.99886307404728</c:v>
                </c:pt>
                <c:pt idx="341">
                  <c:v>149.69384617795532</c:v>
                </c:pt>
                <c:pt idx="342">
                  <c:v>149.3740529856081</c:v>
                </c:pt>
                <c:pt idx="343">
                  <c:v>149.03938309854456</c:v>
                </c:pt>
                <c:pt idx="344">
                  <c:v>148.68973398148847</c:v>
                </c:pt>
                <c:pt idx="345">
                  <c:v>148.32500118589084</c:v>
                </c:pt>
                <c:pt idx="346">
                  <c:v>147.94507859174007</c:v>
                </c:pt>
                <c:pt idx="347">
                  <c:v>147.54985866824123</c:v>
                </c:pt>
                <c:pt idx="348">
                  <c:v>147.13923275396559</c:v>
                </c:pt>
                <c:pt idx="349">
                  <c:v>146.71309135708049</c:v>
                </c:pt>
                <c:pt idx="350">
                  <c:v>146.2713244762507</c:v>
                </c:pt>
                <c:pt idx="351">
                  <c:v>145.81382194279399</c:v>
                </c:pt>
                <c:pt idx="352">
                  <c:v>145.34047378464953</c:v>
                </c:pt>
                <c:pt idx="353">
                  <c:v>144.85117061268849</c:v>
                </c:pt>
                <c:pt idx="354">
                  <c:v>144.34580402985318</c:v>
                </c:pt>
                <c:pt idx="355">
                  <c:v>143.82426706356432</c:v>
                </c:pt>
                <c:pt idx="356">
                  <c:v>143.28645462177553</c:v>
                </c:pt>
                <c:pt idx="357">
                  <c:v>142.73226397297756</c:v>
                </c:pt>
                <c:pt idx="358">
                  <c:v>142.16159525037739</c:v>
                </c:pt>
                <c:pt idx="359">
                  <c:v>141.57435198037248</c:v>
                </c:pt>
                <c:pt idx="360">
                  <c:v>140.97044163533405</c:v>
                </c:pt>
                <c:pt idx="361">
                  <c:v>140.34977621058249</c:v>
                </c:pt>
                <c:pt idx="362">
                  <c:v>139.71227282530097</c:v>
                </c:pt>
                <c:pt idx="363">
                  <c:v>139.05785434696992</c:v>
                </c:pt>
                <c:pt idx="364">
                  <c:v>138.38645003873646</c:v>
                </c:pt>
                <c:pt idx="365">
                  <c:v>137.6979962289399</c:v>
                </c:pt>
                <c:pt idx="366">
                  <c:v>136.99243700180506</c:v>
                </c:pt>
                <c:pt idx="367">
                  <c:v>136.26972490809885</c:v>
                </c:pt>
                <c:pt idx="368">
                  <c:v>135.52982169428759</c:v>
                </c:pt>
                <c:pt idx="369">
                  <c:v>134.77269904850564</c:v>
                </c:pt>
                <c:pt idx="370">
                  <c:v>133.99833936134266</c:v>
                </c:pt>
                <c:pt idx="371">
                  <c:v>133.20673649919283</c:v>
                </c:pt>
                <c:pt idx="372">
                  <c:v>132.39789658760884</c:v>
                </c:pt>
                <c:pt idx="373">
                  <c:v>131.57183880179016</c:v>
                </c:pt>
                <c:pt idx="374">
                  <c:v>130.72859616102372</c:v>
                </c:pt>
                <c:pt idx="375">
                  <c:v>129.86821632357811</c:v>
                </c:pt>
                <c:pt idx="376">
                  <c:v>128.99076237822675</c:v>
                </c:pt>
                <c:pt idx="377">
                  <c:v>128.09631362825326</c:v>
                </c:pt>
                <c:pt idx="378">
                  <c:v>127.18496636348398</c:v>
                </c:pt>
                <c:pt idx="379">
                  <c:v>126.2568346155881</c:v>
                </c:pt>
                <c:pt idx="380">
                  <c:v>125.31205089159241</c:v>
                </c:pt>
                <c:pt idx="381">
                  <c:v>124.35076688029993</c:v>
                </c:pt>
                <c:pt idx="382">
                  <c:v>123.37315412605398</c:v>
                </c:pt>
                <c:pt idx="383">
                  <c:v>122.37940466408863</c:v>
                </c:pt>
                <c:pt idx="384">
                  <c:v>121.36973161153773</c:v>
                </c:pt>
                <c:pt idx="385">
                  <c:v>120.34436970804241</c:v>
                </c:pt>
                <c:pt idx="386">
                  <c:v>119.30357579984653</c:v>
                </c:pt>
                <c:pt idx="387">
                  <c:v>118.2476292612305</c:v>
                </c:pt>
                <c:pt idx="388">
                  <c:v>117.17683234720295</c:v>
                </c:pt>
                <c:pt idx="389">
                  <c:v>116.09151047148178</c:v>
                </c:pt>
                <c:pt idx="390">
                  <c:v>114.99201240398212</c:v>
                </c:pt>
                <c:pt idx="391">
                  <c:v>113.87871038229909</c:v>
                </c:pt>
                <c:pt idx="392">
                  <c:v>112.75200013203032</c:v>
                </c:pt>
                <c:pt idx="393">
                  <c:v>111.61230079119233</c:v>
                </c:pt>
                <c:pt idx="394">
                  <c:v>110.46005473451638</c:v>
                </c:pt>
                <c:pt idx="395">
                  <c:v>109.29572729398485</c:v>
                </c:pt>
                <c:pt idx="396">
                  <c:v>108.11980637265084</c:v>
                </c:pt>
                <c:pt idx="397">
                  <c:v>106.9328019495122</c:v>
                </c:pt>
                <c:pt idx="398">
                  <c:v>105.73524547404811</c:v>
                </c:pt>
                <c:pt idx="399">
                  <c:v>104.52768914986686</c:v>
                </c:pt>
                <c:pt idx="400">
                  <c:v>103.31070510787232</c:v>
                </c:pt>
                <c:pt idx="401">
                  <c:v>102.08488447029218</c:v>
                </c:pt>
                <c:pt idx="402">
                  <c:v>100.85083630793316</c:v>
                </c:pt>
                <c:pt idx="403">
                  <c:v>99.609186494017479</c:v>
                </c:pt>
                <c:pt idx="404">
                  <c:v>98.360576458984582</c:v>
                </c:pt>
                <c:pt idx="405">
                  <c:v>97.105661851632178</c:v>
                </c:pt>
                <c:pt idx="406">
                  <c:v>95.845111112944878</c:v>
                </c:pt>
                <c:pt idx="407">
                  <c:v>94.57960396989273</c:v>
                </c:pt>
                <c:pt idx="408">
                  <c:v>93.309829857328467</c:v>
                </c:pt>
                <c:pt idx="409">
                  <c:v>92.036486276934241</c:v>
                </c:pt>
                <c:pt idx="410">
                  <c:v>90.760277102849798</c:v>
                </c:pt>
                <c:pt idx="411">
                  <c:v>89.481910844226746</c:v>
                </c:pt>
                <c:pt idx="412">
                  <c:v>88.202098875452208</c:v>
                </c:pt>
                <c:pt idx="413">
                  <c:v>86.921553645142481</c:v>
                </c:pt>
                <c:pt idx="414">
                  <c:v>85.640986875268965</c:v>
                </c:pt>
                <c:pt idx="415">
                  <c:v>84.361107761881044</c:v>
                </c:pt>
                <c:pt idx="416">
                  <c:v>83.082621188866923</c:v>
                </c:pt>
                <c:pt idx="417">
                  <c:v>81.806225966049894</c:v>
                </c:pt>
                <c:pt idx="418">
                  <c:v>80.532613102627593</c:v>
                </c:pt>
                <c:pt idx="419">
                  <c:v>79.262464126537253</c:v>
                </c:pt>
                <c:pt idx="420">
                  <c:v>77.996449459829009</c:v>
                </c:pt>
                <c:pt idx="421">
                  <c:v>76.735226859462486</c:v>
                </c:pt>
                <c:pt idx="422">
                  <c:v>75.479439932233234</c:v>
                </c:pt>
                <c:pt idx="423">
                  <c:v>74.229716731693998</c:v>
                </c:pt>
                <c:pt idx="424">
                  <c:v>72.986668444074994</c:v>
                </c:pt>
                <c:pt idx="425">
                  <c:v>71.750888169236973</c:v>
                </c:pt>
                <c:pt idx="426">
                  <c:v>70.522949801729482</c:v>
                </c:pt>
                <c:pt idx="427">
                  <c:v>69.303407016013097</c:v>
                </c:pt>
                <c:pt idx="428">
                  <c:v>68.092792358894329</c:v>
                </c:pt>
                <c:pt idx="429">
                  <c:v>66.891616451198416</c:v>
                </c:pt>
                <c:pt idx="430">
                  <c:v>65.700367299749175</c:v>
                </c:pt>
                <c:pt idx="431">
                  <c:v>64.519509719732611</c:v>
                </c:pt>
                <c:pt idx="432">
                  <c:v>63.349484866648581</c:v>
                </c:pt>
                <c:pt idx="433">
                  <c:v>62.190709876164121</c:v>
                </c:pt>
                <c:pt idx="434">
                  <c:v>61.043577609424638</c:v>
                </c:pt>
                <c:pt idx="435">
                  <c:v>59.908456500635324</c:v>
                </c:pt>
                <c:pt idx="436">
                  <c:v>58.785690503081348</c:v>
                </c:pt>
                <c:pt idx="437">
                  <c:v>57.675599129212443</c:v>
                </c:pt>
                <c:pt idx="438">
                  <c:v>56.578477579897445</c:v>
                </c:pt>
                <c:pt idx="439">
                  <c:v>55.494596957582452</c:v>
                </c:pt>
                <c:pt idx="440">
                  <c:v>54.424204557747252</c:v>
                </c:pt>
                <c:pt idx="441">
                  <c:v>53.367524232817651</c:v>
                </c:pt>
                <c:pt idx="442">
                  <c:v>52.324756822524257</c:v>
                </c:pt>
                <c:pt idx="443">
                  <c:v>51.296080644601439</c:v>
                </c:pt>
                <c:pt idx="444">
                  <c:v>50.281652039691728</c:v>
                </c:pt>
                <c:pt idx="445">
                  <c:v>49.281605964359166</c:v>
                </c:pt>
                <c:pt idx="446">
                  <c:v>48.296056626191472</c:v>
                </c:pt>
                <c:pt idx="447">
                  <c:v>47.325098155126554</c:v>
                </c:pt>
                <c:pt idx="448">
                  <c:v>46.36880530530177</c:v>
                </c:pt>
                <c:pt idx="449">
                  <c:v>45.427234181961218</c:v>
                </c:pt>
                <c:pt idx="450">
                  <c:v>44.500422988189676</c:v>
                </c:pt>
                <c:pt idx="451">
                  <c:v>43.58839278652934</c:v>
                </c:pt>
                <c:pt idx="452">
                  <c:v>42.691148270819184</c:v>
                </c:pt>
                <c:pt idx="453">
                  <c:v>41.808678543918653</c:v>
                </c:pt>
                <c:pt idx="454">
                  <c:v>40.940957897276753</c:v>
                </c:pt>
                <c:pt idx="455">
                  <c:v>40.087946588646496</c:v>
                </c:pt>
                <c:pt idx="456">
                  <c:v>39.249591614562043</c:v>
                </c:pt>
                <c:pt idx="457">
                  <c:v>38.425827474510044</c:v>
                </c:pt>
                <c:pt idx="458">
                  <c:v>37.616576924052637</c:v>
                </c:pt>
                <c:pt idx="459">
                  <c:v>36.821751714457527</c:v>
                </c:pt>
                <c:pt idx="460">
                  <c:v>36.041253316687914</c:v>
                </c:pt>
                <c:pt idx="461">
                  <c:v>35.274973627889459</c:v>
                </c:pt>
                <c:pt idx="462">
                  <c:v>34.52279565877901</c:v>
                </c:pt>
                <c:pt idx="463">
                  <c:v>33.784594200590796</c:v>
                </c:pt>
                <c:pt idx="464">
                  <c:v>33.060236470482259</c:v>
                </c:pt>
                <c:pt idx="465">
                  <c:v>32.349582734511962</c:v>
                </c:pt>
                <c:pt idx="466">
                  <c:v>31.652486907514142</c:v>
                </c:pt>
                <c:pt idx="467">
                  <c:v>30.968797129383841</c:v>
                </c:pt>
                <c:pt idx="468">
                  <c:v>30.298356317453457</c:v>
                </c:pt>
                <c:pt idx="469">
                  <c:v>29.641002694802093</c:v>
                </c:pt>
                <c:pt idx="470">
                  <c:v>28.996570294480634</c:v>
                </c:pt>
                <c:pt idx="471">
                  <c:v>28.364889439752176</c:v>
                </c:pt>
                <c:pt idx="472">
                  <c:v>27.745787200575791</c:v>
                </c:pt>
                <c:pt idx="473">
                  <c:v>27.139087826642431</c:v>
                </c:pt>
                <c:pt idx="474">
                  <c:v>26.544613157368236</c:v>
                </c:pt>
                <c:pt idx="475">
                  <c:v>25.962183009320874</c:v>
                </c:pt>
                <c:pt idx="476">
                  <c:v>25.39161554161424</c:v>
                </c:pt>
                <c:pt idx="477">
                  <c:v>24.832727599866562</c:v>
                </c:pt>
                <c:pt idx="478">
                  <c:v>24.285335039350645</c:v>
                </c:pt>
                <c:pt idx="479">
                  <c:v>23.749253028008532</c:v>
                </c:pt>
                <c:pt idx="480">
                  <c:v>23.22429633001877</c:v>
                </c:pt>
                <c:pt idx="481">
                  <c:v>22.710279570639287</c:v>
                </c:pt>
                <c:pt idx="482">
                  <c:v>22.207017483043131</c:v>
                </c:pt>
                <c:pt idx="483">
                  <c:v>21.714325137890977</c:v>
                </c:pt>
                <c:pt idx="484">
                  <c:v>21.232018156369691</c:v>
                </c:pt>
                <c:pt idx="485">
                  <c:v>20.75991290743849</c:v>
                </c:pt>
                <c:pt idx="486">
                  <c:v>20.2978266900089</c:v>
                </c:pt>
                <c:pt idx="487">
                  <c:v>19.845577900780686</c:v>
                </c:pt>
                <c:pt idx="488">
                  <c:v>19.4029861884406</c:v>
                </c:pt>
                <c:pt idx="489">
                  <c:v>18.969872594921828</c:v>
                </c:pt>
                <c:pt idx="490">
                  <c:v>18.546059684395768</c:v>
                </c:pt>
                <c:pt idx="491">
                  <c:v>18.131371660662907</c:v>
                </c:pt>
                <c:pt idx="492">
                  <c:v>17.725634473576978</c:v>
                </c:pt>
                <c:pt idx="493">
                  <c:v>17.328675915124837</c:v>
                </c:pt>
                <c:pt idx="494">
                  <c:v>16.94032570575947</c:v>
                </c:pt>
                <c:pt idx="495">
                  <c:v>16.560415571563311</c:v>
                </c:pt>
                <c:pt idx="496">
                  <c:v>16.188779312793482</c:v>
                </c:pt>
                <c:pt idx="497">
                  <c:v>15.825252864342101</c:v>
                </c:pt>
                <c:pt idx="498">
                  <c:v>15.469674348621188</c:v>
                </c:pt>
                <c:pt idx="499">
                  <c:v>15.12188412135507</c:v>
                </c:pt>
                <c:pt idx="500">
                  <c:v>14.781724810749575</c:v>
                </c:pt>
                <c:pt idx="501">
                  <c:v>14.449041350475454</c:v>
                </c:pt>
                <c:pt idx="502">
                  <c:v>14.12368100688953</c:v>
                </c:pt>
                <c:pt idx="503">
                  <c:v>13.80549340089409</c:v>
                </c:pt>
                <c:pt idx="504">
                  <c:v>13.494330524810602</c:v>
                </c:pt>
                <c:pt idx="505">
                  <c:v>13.190046754631497</c:v>
                </c:pt>
                <c:pt idx="506">
                  <c:v>12.892498857987226</c:v>
                </c:pt>
                <c:pt idx="507">
                  <c:v>12.601545998151638</c:v>
                </c:pt>
                <c:pt idx="508">
                  <c:v>12.317049734389144</c:v>
                </c:pt>
                <c:pt idx="509">
                  <c:v>12.038874018930464</c:v>
                </c:pt>
                <c:pt idx="510">
                  <c:v>11.766885190847304</c:v>
                </c:pt>
                <c:pt idx="511">
                  <c:v>11.500951967079109</c:v>
                </c:pt>
                <c:pt idx="512">
                  <c:v>11.240945430852166</c:v>
                </c:pt>
                <c:pt idx="513">
                  <c:v>10.98673901771458</c:v>
                </c:pt>
                <c:pt idx="514">
                  <c:v>10.738208499398606</c:v>
                </c:pt>
                <c:pt idx="515">
                  <c:v>10.495231965707644</c:v>
                </c:pt>
                <c:pt idx="516">
                  <c:v>10.257689804613037</c:v>
                </c:pt>
                <c:pt idx="517">
                  <c:v>10.025464680733476</c:v>
                </c:pt>
                <c:pt idx="518">
                  <c:v>9.7984415123600588</c:v>
                </c:pt>
                <c:pt idx="519">
                  <c:v>9.5765074471765459</c:v>
                </c:pt>
                <c:pt idx="520">
                  <c:v>9.3595518368180173</c:v>
                </c:pt>
                <c:pt idx="521">
                  <c:v>9.147466210397786</c:v>
                </c:pt>
                <c:pt idx="522">
                  <c:v>8.940144247126085</c:v>
                </c:pt>
                <c:pt idx="523">
                  <c:v>8.7374817481344973</c:v>
                </c:pt>
                <c:pt idx="524">
                  <c:v>8.5393766076112829</c:v>
                </c:pt>
                <c:pt idx="525">
                  <c:v>8.345728783347619</c:v>
                </c:pt>
                <c:pt idx="526">
                  <c:v>8.1564402667849301</c:v>
                </c:pt>
                <c:pt idx="527">
                  <c:v>7.9714150526470053</c:v>
                </c:pt>
                <c:pt idx="528">
                  <c:v>7.790559108238635</c:v>
                </c:pt>
                <c:pt idx="529">
                  <c:v>7.6137803424783161</c:v>
                </c:pt>
                <c:pt idx="530">
                  <c:v>7.4409885747357274</c:v>
                </c:pt>
                <c:pt idx="531">
                  <c:v>7.2720955035339951</c:v>
                </c:pt>
                <c:pt idx="532">
                  <c:v>7.107014675173513</c:v>
                </c:pt>
                <c:pt idx="533">
                  <c:v>6.9456614523290341</c:v>
                </c:pt>
                <c:pt idx="534">
                  <c:v>6.7879529826693004</c:v>
                </c:pt>
                <c:pt idx="535">
                  <c:v>6.6338081675412592</c:v>
                </c:pt>
                <c:pt idx="536">
                  <c:v>6.4831476307604481</c:v>
                </c:pt>
                <c:pt idx="537">
                  <c:v>6.335893687542792</c:v>
                </c:pt>
                <c:pt idx="538">
                  <c:v>6.1919703136122974</c:v>
                </c:pt>
                <c:pt idx="539">
                  <c:v>6.0513031145143961</c:v>
                </c:pt>
                <c:pt idx="540">
                  <c:v>5.9138192951620452</c:v>
                </c:pt>
                <c:pt idx="541">
                  <c:v>5.7794476296399413</c:v>
                </c:pt>
              </c:numCache>
            </c:numRef>
          </c:yVal>
          <c:smooth val="1"/>
          <c:extLst>
            <c:ext xmlns:c16="http://schemas.microsoft.com/office/drawing/2014/chart" uri="{C3380CC4-5D6E-409C-BE32-E72D297353CC}">
              <c16:uniqueId val="{00000001-F11A-4C29-9835-786B9CEC5C6A}"/>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11"/>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2" Type="http://schemas.openxmlformats.org/officeDocument/2006/relationships/image" Target="../media/image4.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9</xdr:col>
      <xdr:colOff>75154</xdr:colOff>
      <xdr:row>45</xdr:row>
      <xdr:rowOff>164353</xdr:rowOff>
    </xdr:from>
    <xdr:to>
      <xdr:col>25</xdr:col>
      <xdr:colOff>478118</xdr:colOff>
      <xdr:row>69</xdr:row>
      <xdr:rowOff>182732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7</xdr:col>
          <xdr:colOff>561975</xdr:colOff>
          <xdr:row>53</xdr:row>
          <xdr:rowOff>0</xdr:rowOff>
        </xdr:from>
        <xdr:to>
          <xdr:col>8</xdr:col>
          <xdr:colOff>9525</xdr:colOff>
          <xdr:row>55</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508019</xdr:colOff>
      <xdr:row>45</xdr:row>
      <xdr:rowOff>55281</xdr:rowOff>
    </xdr:from>
    <xdr:to>
      <xdr:col>16</xdr:col>
      <xdr:colOff>237584</xdr:colOff>
      <xdr:row>47</xdr:row>
      <xdr:rowOff>124011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710725" y="9453281"/>
          <a:ext cx="954741"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16</xdr:col>
      <xdr:colOff>77712</xdr:colOff>
      <xdr:row>45</xdr:row>
      <xdr:rowOff>64247</xdr:rowOff>
    </xdr:from>
    <xdr:to>
      <xdr:col>17</xdr:col>
      <xdr:colOff>409405</xdr:colOff>
      <xdr:row>47</xdr:row>
      <xdr:rowOff>132978</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9505594" y="9462247"/>
          <a:ext cx="944282" cy="487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11</a:t>
          </a:fld>
          <a:endParaRPr lang="en-US" sz="2400"/>
        </a:p>
      </xdr:txBody>
    </xdr:sp>
    <xdr:clientData/>
  </xdr:twoCellAnchor>
  <xdr:twoCellAnchor>
    <xdr:from>
      <xdr:col>17</xdr:col>
      <xdr:colOff>152439</xdr:colOff>
      <xdr:row>45</xdr:row>
      <xdr:rowOff>55281</xdr:rowOff>
    </xdr:from>
    <xdr:to>
      <xdr:col>18</xdr:col>
      <xdr:colOff>505051</xdr:colOff>
      <xdr:row>47</xdr:row>
      <xdr:rowOff>124011</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0192910" y="9453281"/>
          <a:ext cx="965200"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9</xdr:col>
      <xdr:colOff>49696</xdr:colOff>
      <xdr:row>71</xdr:row>
      <xdr:rowOff>55217</xdr:rowOff>
    </xdr:from>
    <xdr:to>
      <xdr:col>25</xdr:col>
      <xdr:colOff>480392</xdr:colOff>
      <xdr:row>93</xdr:row>
      <xdr:rowOff>82826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118899</xdr:colOff>
      <xdr:row>71</xdr:row>
      <xdr:rowOff>71846</xdr:rowOff>
    </xdr:from>
    <xdr:to>
      <xdr:col>15</xdr:col>
      <xdr:colOff>466899</xdr:colOff>
      <xdr:row>73</xdr:row>
      <xdr:rowOff>79838</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390464" y="14621629"/>
          <a:ext cx="966435"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307027</xdr:colOff>
      <xdr:row>71</xdr:row>
      <xdr:rowOff>80812</xdr:rowOff>
    </xdr:from>
    <xdr:to>
      <xdr:col>17</xdr:col>
      <xdr:colOff>20285</xdr:colOff>
      <xdr:row>73</xdr:row>
      <xdr:rowOff>88805</xdr:rowOff>
    </xdr:to>
    <xdr:sp macro="" textlink="VIN_nom">
      <xdr:nvSpPr>
        <xdr:cNvPr id="9" name="TextBox 8">
          <a:extLst>
            <a:ext uri="{FF2B5EF4-FFF2-40B4-BE49-F238E27FC236}">
              <a16:creationId xmlns:a16="http://schemas.microsoft.com/office/drawing/2014/main" id="{00000000-0008-0000-0000-000009000000}"/>
            </a:ext>
          </a:extLst>
        </xdr:cNvPr>
        <xdr:cNvSpPr txBox="1"/>
      </xdr:nvSpPr>
      <xdr:spPr>
        <a:xfrm>
          <a:off x="9197027" y="14630595"/>
          <a:ext cx="950128" cy="4883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cs typeface="Calibri"/>
            </a:rPr>
            <a:pPr/>
            <a:t>11</a:t>
          </a:fld>
          <a:endParaRPr lang="en-US" sz="2400"/>
        </a:p>
      </xdr:txBody>
    </xdr:sp>
    <xdr:clientData/>
  </xdr:twoCellAnchor>
  <xdr:twoCellAnchor>
    <xdr:from>
      <xdr:col>16</xdr:col>
      <xdr:colOff>80660</xdr:colOff>
      <xdr:row>71</xdr:row>
      <xdr:rowOff>88411</xdr:rowOff>
    </xdr:from>
    <xdr:to>
      <xdr:col>17</xdr:col>
      <xdr:colOff>433271</xdr:colOff>
      <xdr:row>73</xdr:row>
      <xdr:rowOff>96403</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9589095" y="14638194"/>
          <a:ext cx="971046"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mc:AlternateContent xmlns:mc="http://schemas.openxmlformats.org/markup-compatibility/2006">
    <mc:Choice xmlns:a14="http://schemas.microsoft.com/office/drawing/2010/main" Requires="a14">
      <xdr:twoCellAnchor editAs="oneCell">
        <xdr:from>
          <xdr:col>10</xdr:col>
          <xdr:colOff>397695</xdr:colOff>
          <xdr:row>12</xdr:row>
          <xdr:rowOff>58159</xdr:rowOff>
        </xdr:from>
        <xdr:to>
          <xdr:col>25</xdr:col>
          <xdr:colOff>209669</xdr:colOff>
          <xdr:row>35</xdr:row>
          <xdr:rowOff>134695</xdr:rowOff>
        </xdr:to>
        <xdr:pic>
          <xdr:nvPicPr>
            <xdr:cNvPr id="6" name="Picture 5">
              <a:extLst>
                <a:ext uri="{FF2B5EF4-FFF2-40B4-BE49-F238E27FC236}">
                  <a16:creationId xmlns:a16="http://schemas.microsoft.com/office/drawing/2014/main" id="{00000000-0008-0000-0000-000006000000}"/>
                </a:ext>
              </a:extLst>
            </xdr:cNvPr>
            <xdr:cNvPicPr>
              <a:picLocks noChangeAspect="1"/>
              <a:extLst>
                <a:ext uri="{84589F7E-364E-4C9E-8A38-B11213B215E9}">
                  <a14:cameraTool cellRange="SCH" spid="_x0000_s1132"/>
                </a:ext>
              </a:extLst>
            </xdr:cNvPicPr>
          </xdr:nvPicPr>
          <xdr:blipFill>
            <a:blip xmlns:r="http://schemas.openxmlformats.org/officeDocument/2006/relationships" r:embed="rId3"/>
            <a:stretch>
              <a:fillRect/>
            </a:stretch>
          </xdr:blipFill>
          <xdr:spPr>
            <a:xfrm>
              <a:off x="6348019" y="2691541"/>
              <a:ext cx="8750234" cy="4469018"/>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451597</xdr:colOff>
      <xdr:row>179</xdr:row>
      <xdr:rowOff>177800</xdr:rowOff>
    </xdr:from>
    <xdr:to>
      <xdr:col>16</xdr:col>
      <xdr:colOff>350744</xdr:colOff>
      <xdr:row>182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037047" y="33204150"/>
          <a:ext cx="3810747" cy="440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110</xdr:row>
          <xdr:rowOff>0</xdr:rowOff>
        </xdr:from>
        <xdr:to>
          <xdr:col>13</xdr:col>
          <xdr:colOff>19050</xdr:colOff>
          <xdr:row>112</xdr:row>
          <xdr:rowOff>28575</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19051</xdr:colOff>
      <xdr:row>149</xdr:row>
      <xdr:rowOff>17931</xdr:rowOff>
    </xdr:from>
    <xdr:to>
      <xdr:col>14</xdr:col>
      <xdr:colOff>583081</xdr:colOff>
      <xdr:row>157</xdr:row>
      <xdr:rowOff>107951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994901" y="27335631"/>
          <a:ext cx="3866030" cy="15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p>
        <a:p>
          <a:endParaRPr lang="en-US" sz="1100" baseline="0"/>
        </a:p>
        <a:p>
          <a:r>
            <a:rPr lang="en-US" sz="1100" b="1" baseline="0"/>
            <a:t>Includes the effect of slope compensation. To help with the calculations the applicaiton note detailing component selection does not include loop compensation</a:t>
          </a:r>
          <a:endParaRPr lang="en-US" sz="1100" b="1"/>
        </a:p>
      </xdr:txBody>
    </xdr:sp>
    <xdr:clientData/>
  </xdr:twoCellAnchor>
  <xdr:twoCellAnchor>
    <xdr:from>
      <xdr:col>3</xdr:col>
      <xdr:colOff>660400</xdr:colOff>
      <xdr:row>182</xdr:row>
      <xdr:rowOff>165100</xdr:rowOff>
    </xdr:from>
    <xdr:to>
      <xdr:col>9</xdr:col>
      <xdr:colOff>311150</xdr:colOff>
      <xdr:row>186</xdr:row>
      <xdr:rowOff>88900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94250" y="33928050"/>
          <a:ext cx="549275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Flexible</a:t>
          </a:r>
          <a:r>
            <a:rPr lang="en-US" sz="1100" baseline="0"/>
            <a:t> equations see the MathCad file for these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515248</xdr:colOff>
      <xdr:row>45</xdr:row>
      <xdr:rowOff>69931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36</xdr:row>
      <xdr:rowOff>8964</xdr:rowOff>
    </xdr:from>
    <xdr:to>
      <xdr:col>11</xdr:col>
      <xdr:colOff>591031</xdr:colOff>
      <xdr:row>44</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53</xdr:row>
      <xdr:rowOff>13855</xdr:rowOff>
    </xdr:from>
    <xdr:to>
      <xdr:col>12</xdr:col>
      <xdr:colOff>83127</xdr:colOff>
      <xdr:row>64</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xdr:from>
      <xdr:col>6</xdr:col>
      <xdr:colOff>507999</xdr:colOff>
      <xdr:row>37</xdr:row>
      <xdr:rowOff>44824</xdr:rowOff>
    </xdr:from>
    <xdr:to>
      <xdr:col>12</xdr:col>
      <xdr:colOff>530411</xdr:colOff>
      <xdr:row>43</xdr:row>
      <xdr:rowOff>164354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716058" y="6940177"/>
          <a:ext cx="3697941" cy="1240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Specific</a:t>
          </a:r>
          <a:r>
            <a:rPr lang="en-US" sz="1100" baseline="0"/>
            <a:t> to the LM5123 and LM5152. See datasheet for details</a:t>
          </a:r>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28575</xdr:colOff>
          <xdr:row>2</xdr:row>
          <xdr:rowOff>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6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28575</xdr:colOff>
          <xdr:row>5</xdr:row>
          <xdr:rowOff>9525</xdr:rowOff>
        </xdr:to>
        <xdr:sp macro="" textlink="">
          <xdr:nvSpPr>
            <xdr:cNvPr id="10243" name="Object 3" hidden="1">
              <a:extLst>
                <a:ext uri="{63B3BB69-23CF-44E3-9099-C40C66FF867C}">
                  <a14:compatExt spid="_x0000_s10243"/>
                </a:ext>
                <a:ext uri="{FF2B5EF4-FFF2-40B4-BE49-F238E27FC236}">
                  <a16:creationId xmlns:a16="http://schemas.microsoft.com/office/drawing/2014/main" id="{00000000-0008-0000-0600-000003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xdr:colOff>
          <xdr:row>7</xdr:row>
          <xdr:rowOff>9525</xdr:rowOff>
        </xdr:to>
        <xdr:sp macro="" textlink="">
          <xdr:nvSpPr>
            <xdr:cNvPr id="10246" name="Object 6" hidden="1">
              <a:extLst>
                <a:ext uri="{63B3BB69-23CF-44E3-9099-C40C66FF867C}">
                  <a14:compatExt spid="_x0000_s10246"/>
                </a:ext>
                <a:ext uri="{FF2B5EF4-FFF2-40B4-BE49-F238E27FC236}">
                  <a16:creationId xmlns:a16="http://schemas.microsoft.com/office/drawing/2014/main" id="{00000000-0008-0000-0600-000006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5.vml"/><Relationship Id="rId7" Type="http://schemas.openxmlformats.org/officeDocument/2006/relationships/image" Target="../media/image9.e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package" Target="../embeddings/Microsoft_Visio_Drawing1.vsdx"/><Relationship Id="rId5" Type="http://schemas.openxmlformats.org/officeDocument/2006/relationships/image" Target="../media/image8.emf"/><Relationship Id="rId4" Type="http://schemas.openxmlformats.org/officeDocument/2006/relationships/package" Target="../embeddings/Microsoft_Visio_Drawing.vsdx"/><Relationship Id="rId9"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98"/>
  <sheetViews>
    <sheetView tabSelected="1" topLeftCell="A17" zoomScaleNormal="100" workbookViewId="0">
      <selection activeCell="H38" sqref="H38"/>
    </sheetView>
  </sheetViews>
  <sheetFormatPr baseColWidth="10" defaultColWidth="8.85546875" defaultRowHeight="15" x14ac:dyDescent="0.25"/>
  <cols>
    <col min="1" max="6" width="8.85546875" style="91" customWidth="1"/>
    <col min="7" max="7" width="8.85546875" style="131" customWidth="1"/>
    <col min="8" max="8" width="12" style="91" bestFit="1" customWidth="1"/>
    <col min="9" max="9" width="8.28515625" style="91" bestFit="1" customWidth="1"/>
    <col min="10" max="10" width="4.85546875" style="91" customWidth="1"/>
    <col min="11" max="21" width="8.85546875" style="91" customWidth="1"/>
    <col min="22" max="22" width="7.140625" style="91" customWidth="1"/>
    <col min="23" max="26" width="8.85546875" style="91" customWidth="1"/>
    <col min="27" max="27" width="1.85546875" style="132" customWidth="1"/>
    <col min="28" max="16384" width="8.85546875" style="91"/>
  </cols>
  <sheetData>
    <row r="1" spans="1:27" ht="46.7" customHeight="1" x14ac:dyDescent="0.25">
      <c r="A1" s="87"/>
      <c r="B1" s="87"/>
      <c r="C1" s="87"/>
      <c r="D1" s="87"/>
      <c r="E1" s="88" t="s">
        <v>517</v>
      </c>
      <c r="F1" s="87"/>
      <c r="G1" s="89"/>
      <c r="H1" s="87"/>
      <c r="I1" s="87"/>
      <c r="J1" s="87"/>
      <c r="K1" s="87"/>
      <c r="L1" s="87"/>
      <c r="M1" s="87"/>
      <c r="N1" s="87"/>
      <c r="O1" s="87"/>
      <c r="P1" s="87"/>
      <c r="Q1" s="87"/>
      <c r="R1" s="87"/>
      <c r="S1" s="87"/>
      <c r="T1" s="87"/>
      <c r="U1" s="87"/>
      <c r="V1" s="87"/>
      <c r="W1" s="87"/>
      <c r="X1" s="87"/>
      <c r="Y1" s="87"/>
      <c r="Z1" s="87"/>
      <c r="AA1" s="90"/>
    </row>
    <row r="2" spans="1:27" x14ac:dyDescent="0.25">
      <c r="A2" s="92"/>
      <c r="B2" s="92"/>
      <c r="C2" s="92"/>
      <c r="D2" s="92"/>
      <c r="E2" s="92"/>
      <c r="F2" s="92"/>
      <c r="G2" s="93"/>
      <c r="H2" s="92"/>
      <c r="I2" s="92"/>
      <c r="J2" s="92"/>
      <c r="K2" s="92"/>
      <c r="L2" s="92"/>
      <c r="M2" s="92"/>
      <c r="N2" s="92"/>
      <c r="O2" s="92"/>
      <c r="P2" s="92"/>
      <c r="Q2" s="92"/>
      <c r="R2" s="92"/>
      <c r="S2" s="92"/>
      <c r="T2" s="92"/>
      <c r="U2" s="92"/>
      <c r="V2" s="92"/>
      <c r="W2" s="92"/>
      <c r="X2" s="92"/>
      <c r="Y2" s="92"/>
      <c r="Z2" s="92"/>
      <c r="AA2" s="90"/>
    </row>
    <row r="3" spans="1:27" x14ac:dyDescent="0.25">
      <c r="A3" s="94" t="s">
        <v>1</v>
      </c>
      <c r="B3" s="92"/>
      <c r="C3" s="92"/>
      <c r="D3" s="92"/>
      <c r="E3" s="95"/>
      <c r="F3" s="96" t="s">
        <v>2</v>
      </c>
      <c r="G3" s="93"/>
      <c r="H3" s="92"/>
      <c r="I3" s="92"/>
      <c r="J3" s="92"/>
      <c r="K3" s="92"/>
      <c r="L3" s="92"/>
      <c r="M3" s="92"/>
      <c r="N3" s="92"/>
      <c r="O3" s="97" t="s">
        <v>0</v>
      </c>
      <c r="P3" s="92"/>
      <c r="Q3" s="92"/>
      <c r="R3" s="92"/>
      <c r="S3" s="92"/>
      <c r="T3" s="92"/>
      <c r="U3" s="92"/>
      <c r="V3" s="92"/>
      <c r="W3" s="92"/>
      <c r="X3" s="92"/>
      <c r="Y3" s="92"/>
      <c r="Z3" s="92"/>
      <c r="AA3" s="90"/>
    </row>
    <row r="4" spans="1:27" s="101" customFormat="1" x14ac:dyDescent="0.25">
      <c r="A4" s="98"/>
      <c r="B4" s="98"/>
      <c r="C4" s="98"/>
      <c r="D4" s="98"/>
      <c r="E4" s="98"/>
      <c r="F4" s="98"/>
      <c r="G4" s="99"/>
      <c r="H4" s="98"/>
      <c r="I4" s="98"/>
      <c r="J4" s="98"/>
      <c r="K4" s="98"/>
      <c r="L4" s="98"/>
      <c r="M4" s="98"/>
      <c r="N4" s="98"/>
      <c r="O4" s="98"/>
      <c r="P4" s="98"/>
      <c r="Q4" s="98"/>
      <c r="R4" s="98"/>
      <c r="S4" s="98"/>
      <c r="T4" s="98"/>
      <c r="U4" s="98"/>
      <c r="V4" s="98"/>
      <c r="W4" s="98"/>
      <c r="X4" s="98"/>
      <c r="Y4" s="98"/>
      <c r="Z4" s="98"/>
      <c r="AA4" s="100"/>
    </row>
    <row r="5" spans="1:27" x14ac:dyDescent="0.25">
      <c r="A5" s="102"/>
      <c r="B5" s="102"/>
      <c r="C5" s="102"/>
      <c r="D5" s="102"/>
      <c r="E5" s="102"/>
      <c r="F5" s="102"/>
      <c r="G5" s="103"/>
      <c r="H5" s="102"/>
      <c r="I5" s="102"/>
      <c r="J5" s="102"/>
      <c r="K5" s="102"/>
      <c r="L5" s="102"/>
      <c r="M5" s="102"/>
      <c r="N5" s="102"/>
      <c r="O5" s="102" t="s">
        <v>607</v>
      </c>
      <c r="P5" s="104" t="s">
        <v>608</v>
      </c>
      <c r="Q5" s="102"/>
      <c r="R5" s="102"/>
      <c r="S5" s="102"/>
      <c r="T5" s="102"/>
      <c r="U5" s="102"/>
      <c r="V5" s="102"/>
      <c r="W5" s="102"/>
      <c r="X5" s="102"/>
      <c r="Y5" s="102"/>
      <c r="Z5" s="102"/>
      <c r="AA5" s="90"/>
    </row>
    <row r="6" spans="1:27" ht="15.75" thickBot="1" x14ac:dyDescent="0.3">
      <c r="A6" s="117" t="s">
        <v>3</v>
      </c>
      <c r="B6" s="102"/>
      <c r="C6" s="102"/>
      <c r="D6" s="102"/>
      <c r="E6" s="102"/>
      <c r="F6" s="102"/>
      <c r="G6" s="103"/>
      <c r="H6" s="102"/>
      <c r="I6" s="102"/>
      <c r="J6" s="102"/>
      <c r="K6" s="102"/>
      <c r="L6" s="102"/>
      <c r="M6" s="102"/>
      <c r="N6" s="102"/>
      <c r="O6" s="102"/>
      <c r="P6" s="102"/>
      <c r="Q6" s="102"/>
      <c r="R6" s="102"/>
      <c r="S6" s="102"/>
      <c r="T6" s="102"/>
      <c r="U6" s="102"/>
      <c r="V6" s="102"/>
      <c r="W6" s="102"/>
      <c r="X6" s="102"/>
      <c r="Y6" s="102"/>
      <c r="Z6" s="102"/>
      <c r="AA6" s="90"/>
    </row>
    <row r="7" spans="1:27" x14ac:dyDescent="0.25">
      <c r="A7" s="105"/>
      <c r="B7" s="106"/>
      <c r="C7" s="106"/>
      <c r="D7" s="106"/>
      <c r="E7" s="106"/>
      <c r="F7" s="106"/>
      <c r="G7" s="107" t="s">
        <v>4</v>
      </c>
      <c r="H7" s="133">
        <v>11</v>
      </c>
      <c r="I7" s="108" t="s">
        <v>10</v>
      </c>
      <c r="J7" s="102"/>
      <c r="K7" s="102"/>
      <c r="L7" s="102"/>
      <c r="M7" s="102"/>
      <c r="N7" s="102"/>
      <c r="O7" s="102"/>
      <c r="P7" s="102"/>
      <c r="Q7" s="102"/>
      <c r="R7" s="102"/>
      <c r="S7" s="102"/>
      <c r="T7" s="102"/>
      <c r="U7" s="102"/>
      <c r="V7" s="102"/>
      <c r="W7" s="102"/>
      <c r="X7" s="102"/>
      <c r="Y7" s="102"/>
      <c r="Z7" s="102"/>
      <c r="AA7" s="90"/>
    </row>
    <row r="8" spans="1:27" x14ac:dyDescent="0.25">
      <c r="A8" s="109"/>
      <c r="B8" s="102"/>
      <c r="C8" s="102"/>
      <c r="D8" s="102"/>
      <c r="E8" s="102"/>
      <c r="F8" s="102"/>
      <c r="G8" s="110" t="s">
        <v>5</v>
      </c>
      <c r="H8" s="134">
        <v>11</v>
      </c>
      <c r="I8" s="111" t="s">
        <v>10</v>
      </c>
      <c r="J8" s="102"/>
      <c r="K8" s="102"/>
      <c r="L8" s="102"/>
      <c r="M8" s="102"/>
      <c r="N8" s="102"/>
      <c r="O8" s="102"/>
      <c r="P8" s="102"/>
      <c r="Q8" s="102"/>
      <c r="R8" s="102"/>
      <c r="S8" s="102"/>
      <c r="T8" s="102"/>
      <c r="U8" s="102"/>
      <c r="V8" s="102"/>
      <c r="W8" s="102"/>
      <c r="X8" s="102"/>
      <c r="Y8" s="102"/>
      <c r="Z8" s="102"/>
      <c r="AA8" s="90"/>
    </row>
    <row r="9" spans="1:27" x14ac:dyDescent="0.25">
      <c r="A9" s="109"/>
      <c r="B9" s="102"/>
      <c r="C9" s="102"/>
      <c r="D9" s="102"/>
      <c r="E9" s="102"/>
      <c r="F9" s="102"/>
      <c r="G9" s="110" t="s">
        <v>6</v>
      </c>
      <c r="H9" s="134">
        <v>22</v>
      </c>
      <c r="I9" s="111" t="s">
        <v>10</v>
      </c>
      <c r="J9" s="102"/>
      <c r="K9" s="102"/>
      <c r="L9" s="102"/>
      <c r="M9" s="102"/>
      <c r="N9" s="102"/>
      <c r="O9" s="102"/>
      <c r="P9" s="102"/>
      <c r="Q9" s="102"/>
      <c r="R9" s="102"/>
      <c r="S9" s="102"/>
      <c r="T9" s="102"/>
      <c r="U9" s="102"/>
      <c r="V9" s="102"/>
      <c r="W9" s="102"/>
      <c r="X9" s="102"/>
      <c r="Y9" s="102"/>
      <c r="Z9" s="102"/>
      <c r="AA9" s="90"/>
    </row>
    <row r="10" spans="1:27" x14ac:dyDescent="0.25">
      <c r="A10" s="109"/>
      <c r="B10" s="102"/>
      <c r="C10" s="102"/>
      <c r="D10" s="102"/>
      <c r="E10" s="102"/>
      <c r="F10" s="102"/>
      <c r="G10" s="110" t="s">
        <v>7</v>
      </c>
      <c r="H10" s="134">
        <v>53.5</v>
      </c>
      <c r="I10" s="111" t="s">
        <v>10</v>
      </c>
      <c r="J10" s="102"/>
      <c r="K10" s="102"/>
      <c r="L10" s="102"/>
      <c r="M10" s="102"/>
      <c r="N10" s="102"/>
      <c r="O10" s="102"/>
      <c r="P10" s="102"/>
      <c r="Q10" s="102"/>
      <c r="R10" s="102"/>
      <c r="S10" s="102"/>
      <c r="T10" s="102"/>
      <c r="U10" s="102"/>
      <c r="V10" s="102"/>
      <c r="W10" s="102"/>
      <c r="X10" s="102"/>
      <c r="Y10" s="102"/>
      <c r="Z10" s="102"/>
      <c r="AA10" s="90"/>
    </row>
    <row r="11" spans="1:27" x14ac:dyDescent="0.25">
      <c r="A11" s="109"/>
      <c r="B11" s="102"/>
      <c r="C11" s="102"/>
      <c r="D11" s="102"/>
      <c r="E11" s="102"/>
      <c r="F11" s="102"/>
      <c r="G11" s="110" t="s">
        <v>8</v>
      </c>
      <c r="H11" s="210">
        <v>6</v>
      </c>
      <c r="I11" s="111" t="s">
        <v>11</v>
      </c>
      <c r="J11" s="102"/>
      <c r="K11" s="102"/>
      <c r="L11" s="102"/>
      <c r="M11" s="102"/>
      <c r="N11" s="102"/>
      <c r="O11" s="102"/>
      <c r="P11" s="102"/>
      <c r="Q11" s="102"/>
      <c r="R11" s="102"/>
      <c r="S11" s="102"/>
      <c r="T11" s="102"/>
      <c r="U11" s="102"/>
      <c r="V11" s="102"/>
      <c r="W11" s="102"/>
      <c r="X11" s="102"/>
      <c r="Y11" s="102"/>
      <c r="Z11" s="102"/>
      <c r="AA11" s="90"/>
    </row>
    <row r="12" spans="1:27" x14ac:dyDescent="0.25">
      <c r="A12" s="109"/>
      <c r="B12" s="102"/>
      <c r="C12" s="102"/>
      <c r="D12" s="102"/>
      <c r="E12" s="102"/>
      <c r="F12" s="102"/>
      <c r="G12" s="110" t="s">
        <v>521</v>
      </c>
      <c r="H12" s="211" t="s">
        <v>609</v>
      </c>
      <c r="I12" s="212"/>
      <c r="J12" s="102"/>
      <c r="K12" s="102"/>
      <c r="L12" s="102"/>
      <c r="M12" s="102"/>
      <c r="N12" s="102"/>
      <c r="O12" s="102"/>
      <c r="P12" s="102"/>
      <c r="Q12" s="102"/>
      <c r="R12" s="102"/>
      <c r="S12" s="102"/>
      <c r="T12" s="102"/>
      <c r="U12" s="102"/>
      <c r="V12" s="102"/>
      <c r="W12" s="102"/>
      <c r="X12" s="102"/>
      <c r="Y12" s="102"/>
      <c r="Z12" s="102"/>
      <c r="AA12" s="90"/>
    </row>
    <row r="13" spans="1:27" x14ac:dyDescent="0.25">
      <c r="A13" s="109"/>
      <c r="B13" s="102"/>
      <c r="C13" s="102"/>
      <c r="D13" s="102"/>
      <c r="E13" s="102"/>
      <c r="F13" s="102"/>
      <c r="G13" s="110" t="s">
        <v>9</v>
      </c>
      <c r="H13" s="134">
        <v>1000</v>
      </c>
      <c r="I13" s="111" t="s">
        <v>12</v>
      </c>
      <c r="J13" s="102"/>
      <c r="K13" s="102"/>
      <c r="L13" s="102"/>
      <c r="M13" s="102"/>
      <c r="N13" s="102"/>
      <c r="O13" s="102"/>
      <c r="P13" s="102"/>
      <c r="Q13" s="102"/>
      <c r="R13" s="102"/>
      <c r="S13" s="102"/>
      <c r="T13" s="102"/>
      <c r="U13" s="102"/>
      <c r="V13" s="102"/>
      <c r="W13" s="102"/>
      <c r="X13" s="102"/>
      <c r="Y13" s="102"/>
      <c r="Z13" s="102"/>
      <c r="AA13" s="90"/>
    </row>
    <row r="14" spans="1:27" x14ac:dyDescent="0.25">
      <c r="A14" s="109"/>
      <c r="B14" s="102"/>
      <c r="C14" s="102"/>
      <c r="D14" s="102"/>
      <c r="E14" s="102"/>
      <c r="F14" s="102"/>
      <c r="G14" s="110" t="s">
        <v>70</v>
      </c>
      <c r="H14" s="135">
        <f>RT/1000</f>
        <v>21.145</v>
      </c>
      <c r="I14" s="111" t="s">
        <v>71</v>
      </c>
      <c r="J14" s="102"/>
      <c r="K14" s="102"/>
      <c r="L14" s="102"/>
      <c r="M14" s="102"/>
      <c r="N14" s="102"/>
      <c r="O14" s="102"/>
      <c r="P14" s="102"/>
      <c r="Q14" s="102"/>
      <c r="R14" s="102"/>
      <c r="S14" s="102"/>
      <c r="T14" s="102"/>
      <c r="U14" s="102"/>
      <c r="V14" s="102"/>
      <c r="W14" s="102"/>
      <c r="X14" s="102"/>
      <c r="Y14" s="102"/>
      <c r="Z14" s="102"/>
      <c r="AA14" s="90"/>
    </row>
    <row r="15" spans="1:27" x14ac:dyDescent="0.25">
      <c r="A15" s="109"/>
      <c r="B15" s="102"/>
      <c r="C15" s="102"/>
      <c r="D15" s="102"/>
      <c r="E15" s="102"/>
      <c r="F15" s="102"/>
      <c r="G15" s="110" t="s">
        <v>14</v>
      </c>
      <c r="H15" s="163">
        <f>POUT</f>
        <v>321</v>
      </c>
      <c r="I15" s="111" t="s">
        <v>38</v>
      </c>
      <c r="J15" s="102"/>
      <c r="K15" s="102"/>
      <c r="L15" s="102"/>
      <c r="M15" s="102"/>
      <c r="N15" s="102"/>
      <c r="O15" s="102"/>
      <c r="P15" s="102"/>
      <c r="Q15" s="102"/>
      <c r="R15" s="102"/>
      <c r="S15" s="102"/>
      <c r="T15" s="102"/>
      <c r="U15" s="102"/>
      <c r="V15" s="102"/>
      <c r="W15" s="102"/>
      <c r="X15" s="102"/>
      <c r="Y15" s="102"/>
      <c r="Z15" s="102"/>
      <c r="AA15" s="90"/>
    </row>
    <row r="16" spans="1:27" x14ac:dyDescent="0.25">
      <c r="A16" s="112"/>
      <c r="B16" s="113"/>
      <c r="C16" s="113"/>
      <c r="D16" s="113"/>
      <c r="E16" s="113"/>
      <c r="F16" s="102"/>
      <c r="G16" s="114" t="s">
        <v>516</v>
      </c>
      <c r="H16" s="163">
        <f>Dc_max_IC*100</f>
        <v>88</v>
      </c>
      <c r="I16" s="111" t="s">
        <v>13</v>
      </c>
      <c r="J16" s="102"/>
      <c r="K16" s="102"/>
      <c r="L16" s="102"/>
      <c r="M16" s="102"/>
      <c r="N16" s="102"/>
      <c r="O16" s="102"/>
      <c r="P16" s="102"/>
      <c r="Q16" s="102"/>
      <c r="R16" s="102"/>
      <c r="S16" s="102"/>
      <c r="T16" s="102"/>
      <c r="U16" s="102"/>
      <c r="V16" s="102"/>
      <c r="W16" s="102"/>
      <c r="X16" s="102"/>
      <c r="Y16" s="102"/>
      <c r="Z16" s="102"/>
      <c r="AA16" s="90"/>
    </row>
    <row r="17" spans="1:27" ht="15.75" thickBot="1" x14ac:dyDescent="0.3">
      <c r="A17" s="161"/>
      <c r="B17" s="162"/>
      <c r="C17" s="162"/>
      <c r="D17" s="162"/>
      <c r="E17" s="162"/>
      <c r="F17" s="115"/>
      <c r="G17" s="204" t="s">
        <v>414</v>
      </c>
      <c r="H17" s="205">
        <f>Variable_Management!B22*100</f>
        <v>79.43925233644859</v>
      </c>
      <c r="I17" s="116" t="s">
        <v>13</v>
      </c>
      <c r="J17" s="102"/>
      <c r="K17" s="102"/>
      <c r="L17" s="102"/>
      <c r="M17" s="102"/>
      <c r="N17" s="102"/>
      <c r="O17" s="102"/>
      <c r="P17" s="102"/>
      <c r="Q17" s="102"/>
      <c r="R17" s="102"/>
      <c r="S17" s="102"/>
      <c r="T17" s="102"/>
      <c r="U17" s="102"/>
      <c r="V17" s="102"/>
      <c r="W17" s="102"/>
      <c r="X17" s="102"/>
      <c r="Y17" s="102"/>
      <c r="Z17" s="102"/>
      <c r="AA17" s="90"/>
    </row>
    <row r="18" spans="1:27" x14ac:dyDescent="0.25">
      <c r="A18" s="113"/>
      <c r="B18" s="113"/>
      <c r="C18" s="113"/>
      <c r="D18" s="113"/>
      <c r="E18" s="113"/>
      <c r="F18" s="102"/>
      <c r="G18" s="103"/>
      <c r="H18" s="102"/>
      <c r="I18" s="102"/>
      <c r="J18" s="102"/>
      <c r="K18" s="102"/>
      <c r="L18" s="102"/>
      <c r="M18" s="102"/>
      <c r="N18" s="102"/>
      <c r="O18" s="102"/>
      <c r="P18" s="102"/>
      <c r="Q18" s="102"/>
      <c r="R18" s="102"/>
      <c r="S18" s="102"/>
      <c r="T18" s="102"/>
      <c r="U18" s="102"/>
      <c r="V18" s="102"/>
      <c r="W18" s="102"/>
      <c r="X18" s="102"/>
      <c r="Y18" s="102"/>
      <c r="Z18" s="102"/>
      <c r="AA18" s="90"/>
    </row>
    <row r="19" spans="1:27" ht="15.75" thickBot="1" x14ac:dyDescent="0.3">
      <c r="A19" s="117" t="s">
        <v>72</v>
      </c>
      <c r="B19" s="113"/>
      <c r="C19" s="113"/>
      <c r="D19" s="113"/>
      <c r="E19" s="113"/>
      <c r="F19" s="102"/>
      <c r="G19" s="103"/>
      <c r="H19" s="102"/>
      <c r="I19" s="102"/>
      <c r="J19" s="102"/>
      <c r="K19" s="102"/>
      <c r="L19" s="102"/>
      <c r="M19" s="102"/>
      <c r="N19" s="102"/>
      <c r="O19" s="102"/>
      <c r="P19" s="102"/>
      <c r="Q19" s="102"/>
      <c r="R19" s="102"/>
      <c r="S19" s="102"/>
      <c r="T19" s="102"/>
      <c r="U19" s="102"/>
      <c r="V19" s="102"/>
      <c r="W19" s="102"/>
      <c r="X19" s="102"/>
      <c r="Y19" s="102"/>
      <c r="Z19" s="102"/>
      <c r="AA19" s="90"/>
    </row>
    <row r="20" spans="1:27" ht="18" x14ac:dyDescent="0.35">
      <c r="A20" s="125"/>
      <c r="B20" s="118"/>
      <c r="C20" s="118"/>
      <c r="D20" s="118"/>
      <c r="E20" s="118"/>
      <c r="F20" s="106"/>
      <c r="G20" s="124" t="s">
        <v>524</v>
      </c>
      <c r="H20" s="157" t="str">
        <f>CHOOSE(Variable_Management!B25, "DCM","CCM")</f>
        <v>CCM</v>
      </c>
      <c r="I20" s="108"/>
      <c r="J20" s="102"/>
      <c r="K20" s="102"/>
      <c r="L20" s="102"/>
      <c r="M20" s="102"/>
      <c r="N20" s="102"/>
      <c r="O20" s="102"/>
      <c r="P20" s="102"/>
      <c r="Q20" s="102"/>
      <c r="R20" s="102"/>
      <c r="S20" s="102"/>
      <c r="T20" s="102"/>
      <c r="U20" s="102"/>
      <c r="V20" s="102"/>
      <c r="W20" s="102"/>
      <c r="X20" s="102"/>
      <c r="Y20" s="102"/>
      <c r="Z20" s="102"/>
      <c r="AA20" s="90"/>
    </row>
    <row r="21" spans="1:27" x14ac:dyDescent="0.25">
      <c r="A21" s="112"/>
      <c r="B21" s="113"/>
      <c r="C21" s="113"/>
      <c r="D21" s="113"/>
      <c r="E21" s="113"/>
      <c r="F21" s="102"/>
      <c r="G21" s="110" t="str">
        <f>CHOOSE(Variable_Management!B25,"Maximum duty cycle at the minimum supply voltage","Desired Maximum Inductor Current Ripple Ratio")</f>
        <v>Desired Maximum Inductor Current Ripple Ratio</v>
      </c>
      <c r="H21" s="134">
        <v>60</v>
      </c>
      <c r="I21" s="111" t="s">
        <v>13</v>
      </c>
      <c r="J21" s="102"/>
      <c r="K21" s="102"/>
      <c r="L21" s="102"/>
      <c r="M21" s="102"/>
      <c r="N21" s="102"/>
      <c r="O21" s="102"/>
      <c r="P21" s="102"/>
      <c r="Q21" s="102"/>
      <c r="R21" s="102"/>
      <c r="S21" s="102"/>
      <c r="T21" s="102"/>
      <c r="U21" s="102"/>
      <c r="V21" s="102"/>
      <c r="W21" s="102"/>
      <c r="X21" s="102"/>
      <c r="Y21" s="102"/>
      <c r="Z21" s="102"/>
      <c r="AA21" s="90"/>
    </row>
    <row r="22" spans="1:27" x14ac:dyDescent="0.25">
      <c r="A22" s="109"/>
      <c r="B22" s="102"/>
      <c r="C22" s="102"/>
      <c r="D22" s="102"/>
      <c r="E22" s="102"/>
      <c r="F22" s="102"/>
      <c r="G22" s="110" t="s">
        <v>390</v>
      </c>
      <c r="H22" s="137">
        <f>CHOOSE(Variable_Management!B25,Variable_Management!B45*10^9,Variable_Management!B45*10^6)</f>
        <v>1.4796052056948212</v>
      </c>
      <c r="I22" s="111" t="str">
        <f>CHOOSE(Variable_Management!B25,"nH","uH")</f>
        <v>uH</v>
      </c>
      <c r="J22" s="102"/>
      <c r="K22" s="102"/>
      <c r="L22" s="102"/>
      <c r="M22" s="102"/>
      <c r="N22" s="102"/>
      <c r="O22" s="102"/>
      <c r="P22" s="102"/>
      <c r="Q22" s="102"/>
      <c r="R22" s="102"/>
      <c r="S22" s="102"/>
      <c r="T22" s="102"/>
      <c r="U22" s="102"/>
      <c r="V22" s="102"/>
      <c r="W22" s="102"/>
      <c r="X22" s="102"/>
      <c r="Y22" s="102"/>
      <c r="Z22" s="102"/>
      <c r="AA22" s="90"/>
    </row>
    <row r="23" spans="1:27" x14ac:dyDescent="0.25">
      <c r="A23" s="109"/>
      <c r="B23" s="102"/>
      <c r="C23" s="102"/>
      <c r="D23" s="102"/>
      <c r="E23" s="102"/>
      <c r="F23" s="102"/>
      <c r="G23" s="110" t="s">
        <v>391</v>
      </c>
      <c r="H23" s="134">
        <v>1.5</v>
      </c>
      <c r="I23" s="111" t="str">
        <f>CHOOSE(Variable_Management!B25,"nH","uH")</f>
        <v>uH</v>
      </c>
      <c r="J23" s="102"/>
      <c r="K23" s="102"/>
      <c r="L23" s="102"/>
      <c r="M23" s="102"/>
      <c r="N23" s="102"/>
      <c r="O23" s="102"/>
      <c r="P23" s="102"/>
      <c r="Q23" s="102"/>
      <c r="R23" s="102"/>
      <c r="S23" s="102"/>
      <c r="T23" s="102"/>
      <c r="U23" s="102"/>
      <c r="V23" s="102"/>
      <c r="W23" s="102"/>
      <c r="X23" s="102"/>
      <c r="Y23" s="102"/>
      <c r="Z23" s="102"/>
      <c r="AA23" s="90"/>
    </row>
    <row r="24" spans="1:27" x14ac:dyDescent="0.25">
      <c r="A24" s="109"/>
      <c r="B24" s="102"/>
      <c r="C24" s="102"/>
      <c r="D24" s="102"/>
      <c r="E24" s="102"/>
      <c r="F24" s="102"/>
      <c r="G24" s="110" t="s">
        <v>76</v>
      </c>
      <c r="H24" s="134">
        <v>2.2999999999999998</v>
      </c>
      <c r="I24" s="111" t="s">
        <v>92</v>
      </c>
      <c r="J24" s="102"/>
      <c r="K24" s="102"/>
      <c r="L24" s="102"/>
      <c r="M24" s="102"/>
      <c r="N24" s="102"/>
      <c r="O24" s="102"/>
      <c r="P24" s="102"/>
      <c r="Q24" s="102"/>
      <c r="R24" s="102"/>
      <c r="S24" s="102"/>
      <c r="T24" s="102"/>
      <c r="U24" s="102"/>
      <c r="V24" s="102"/>
      <c r="W24" s="102"/>
      <c r="X24" s="102"/>
      <c r="Y24" s="102"/>
      <c r="Z24" s="102"/>
      <c r="AA24" s="90"/>
    </row>
    <row r="25" spans="1:27" ht="15.75" thickBot="1" x14ac:dyDescent="0.3">
      <c r="A25" s="119"/>
      <c r="B25" s="115"/>
      <c r="C25" s="115"/>
      <c r="D25" s="115"/>
      <c r="E25" s="115"/>
      <c r="F25" s="115"/>
      <c r="G25" s="120" t="s">
        <v>93</v>
      </c>
      <c r="H25" s="138">
        <f>ILp_VINmin</f>
        <v>32.094590767487965</v>
      </c>
      <c r="I25" s="116" t="s">
        <v>11</v>
      </c>
      <c r="J25" s="102"/>
      <c r="K25" s="102"/>
      <c r="L25" s="102"/>
      <c r="M25" s="102"/>
      <c r="N25" s="102"/>
      <c r="O25" s="102"/>
      <c r="P25" s="102"/>
      <c r="Q25" s="102"/>
      <c r="R25" s="102"/>
      <c r="S25" s="102"/>
      <c r="T25" s="102"/>
      <c r="U25" s="102"/>
      <c r="V25" s="102"/>
      <c r="W25" s="102"/>
      <c r="X25" s="102"/>
      <c r="Y25" s="102"/>
      <c r="Z25" s="102"/>
      <c r="AA25" s="90"/>
    </row>
    <row r="26" spans="1:27" x14ac:dyDescent="0.25">
      <c r="A26" s="102"/>
      <c r="B26" s="102"/>
      <c r="C26" s="102"/>
      <c r="D26" s="102"/>
      <c r="E26" s="102"/>
      <c r="F26" s="102"/>
      <c r="G26" s="103"/>
      <c r="H26" s="102"/>
      <c r="I26" s="102"/>
      <c r="J26" s="102"/>
      <c r="K26" s="102"/>
      <c r="L26" s="102"/>
      <c r="M26" s="102"/>
      <c r="N26" s="102"/>
      <c r="O26" s="102"/>
      <c r="P26" s="102"/>
      <c r="Q26" s="102"/>
      <c r="R26" s="102"/>
      <c r="S26" s="102"/>
      <c r="T26" s="102"/>
      <c r="U26" s="102"/>
      <c r="V26" s="102"/>
      <c r="W26" s="102"/>
      <c r="X26" s="102"/>
      <c r="Y26" s="102"/>
      <c r="Z26" s="102"/>
      <c r="AA26" s="90"/>
    </row>
    <row r="27" spans="1:27" ht="15.75" thickBot="1" x14ac:dyDescent="0.3">
      <c r="A27" s="117" t="s">
        <v>112</v>
      </c>
      <c r="B27" s="102"/>
      <c r="C27" s="102"/>
      <c r="D27" s="102"/>
      <c r="E27" s="102"/>
      <c r="F27" s="102"/>
      <c r="G27" s="103"/>
      <c r="H27" s="102"/>
      <c r="I27" s="102"/>
      <c r="J27" s="102"/>
      <c r="K27" s="102"/>
      <c r="L27" s="102"/>
      <c r="M27" s="102"/>
      <c r="N27" s="102"/>
      <c r="O27" s="102"/>
      <c r="P27" s="102"/>
      <c r="Q27" s="102"/>
      <c r="R27" s="102"/>
      <c r="S27" s="102"/>
      <c r="T27" s="102"/>
      <c r="U27" s="102"/>
      <c r="V27" s="102"/>
      <c r="W27" s="102"/>
      <c r="X27" s="102"/>
      <c r="Y27" s="102"/>
      <c r="Z27" s="102"/>
      <c r="AA27" s="90"/>
    </row>
    <row r="28" spans="1:27" x14ac:dyDescent="0.25">
      <c r="A28" s="105"/>
      <c r="B28" s="106"/>
      <c r="C28" s="106"/>
      <c r="D28" s="106"/>
      <c r="E28" s="106"/>
      <c r="F28" s="106"/>
      <c r="G28" s="107" t="s">
        <v>415</v>
      </c>
      <c r="H28" s="133">
        <v>30</v>
      </c>
      <c r="I28" s="108" t="s">
        <v>13</v>
      </c>
      <c r="J28" s="102"/>
      <c r="K28" s="102"/>
      <c r="L28" s="102"/>
      <c r="M28" s="102"/>
      <c r="N28" s="102"/>
      <c r="O28" s="102"/>
      <c r="P28" s="102"/>
      <c r="Q28" s="102"/>
      <c r="R28" s="102"/>
      <c r="S28" s="102"/>
      <c r="T28" s="102"/>
      <c r="U28" s="102"/>
      <c r="V28" s="102"/>
      <c r="W28" s="102"/>
      <c r="X28" s="102"/>
      <c r="Y28" s="102"/>
      <c r="Z28" s="102"/>
      <c r="AA28" s="90"/>
    </row>
    <row r="29" spans="1:27" ht="18" x14ac:dyDescent="0.35">
      <c r="A29" s="109"/>
      <c r="B29" s="102"/>
      <c r="C29" s="102"/>
      <c r="D29" s="102"/>
      <c r="E29" s="102"/>
      <c r="F29" s="102"/>
      <c r="G29" s="103" t="s">
        <v>170</v>
      </c>
      <c r="H29" s="135">
        <f>Ipk_selected</f>
        <v>43.719618715437704</v>
      </c>
      <c r="I29" s="111" t="s">
        <v>11</v>
      </c>
      <c r="J29" s="102"/>
      <c r="K29" s="102"/>
      <c r="L29" s="102"/>
      <c r="M29" s="102"/>
      <c r="N29" s="102"/>
      <c r="O29" s="102"/>
      <c r="P29" s="102"/>
      <c r="Q29" s="102"/>
      <c r="R29" s="102"/>
      <c r="S29" s="102"/>
      <c r="T29" s="102"/>
      <c r="U29" s="102"/>
      <c r="V29" s="102"/>
      <c r="W29" s="102"/>
      <c r="X29" s="102"/>
      <c r="Y29" s="102"/>
      <c r="Z29" s="102"/>
      <c r="AA29" s="90"/>
    </row>
    <row r="30" spans="1:27" ht="18" x14ac:dyDescent="0.35">
      <c r="A30" s="109"/>
      <c r="B30" s="102"/>
      <c r="C30" s="102"/>
      <c r="D30" s="102"/>
      <c r="E30" s="102"/>
      <c r="F30" s="102"/>
      <c r="G30" s="103" t="s">
        <v>418</v>
      </c>
      <c r="H30" s="135">
        <f>Variable_Management!B87*1000</f>
        <v>1.372381593502177</v>
      </c>
      <c r="I30" s="111" t="s">
        <v>92</v>
      </c>
      <c r="J30" s="102"/>
      <c r="K30" s="102"/>
      <c r="L30" s="102"/>
      <c r="M30" s="102"/>
      <c r="N30" s="102"/>
      <c r="O30" s="102"/>
      <c r="P30" s="102"/>
      <c r="Q30" s="102"/>
      <c r="R30" s="102"/>
      <c r="S30" s="102"/>
      <c r="T30" s="102"/>
      <c r="U30" s="102"/>
      <c r="V30" s="102"/>
      <c r="W30" s="102"/>
      <c r="X30" s="102"/>
      <c r="Y30" s="102"/>
      <c r="Z30" s="102"/>
      <c r="AA30" s="90"/>
    </row>
    <row r="31" spans="1:27" ht="18" x14ac:dyDescent="0.35">
      <c r="A31" s="109"/>
      <c r="B31" s="102"/>
      <c r="C31" s="102"/>
      <c r="D31" s="102"/>
      <c r="E31" s="102"/>
      <c r="F31" s="102"/>
      <c r="G31" s="103" t="s">
        <v>419</v>
      </c>
      <c r="H31" s="134">
        <v>1.5</v>
      </c>
      <c r="I31" s="111" t="s">
        <v>92</v>
      </c>
      <c r="J31" s="102"/>
      <c r="K31" s="102"/>
      <c r="L31" s="102"/>
      <c r="M31" s="102"/>
      <c r="N31" s="102"/>
      <c r="O31" s="102"/>
      <c r="P31" s="102"/>
      <c r="Q31" s="102"/>
      <c r="R31" s="102"/>
      <c r="S31" s="102"/>
      <c r="T31" s="102"/>
      <c r="U31" s="102"/>
      <c r="V31" s="102"/>
      <c r="W31" s="102"/>
      <c r="X31" s="102"/>
      <c r="Y31" s="102"/>
      <c r="Z31" s="102"/>
      <c r="AA31" s="90"/>
    </row>
    <row r="32" spans="1:27" ht="15.75" thickBot="1" x14ac:dyDescent="0.3">
      <c r="A32" s="119"/>
      <c r="B32" s="115"/>
      <c r="C32" s="115"/>
      <c r="D32" s="115"/>
      <c r="E32" s="115"/>
      <c r="F32" s="115"/>
      <c r="G32" s="122" t="s">
        <v>143</v>
      </c>
      <c r="H32" s="139">
        <f>IL_pk_max</f>
        <v>40</v>
      </c>
      <c r="I32" s="123" t="s">
        <v>11</v>
      </c>
      <c r="J32" s="102"/>
      <c r="K32" s="102"/>
      <c r="L32" s="102"/>
      <c r="M32" s="102"/>
      <c r="N32" s="102"/>
      <c r="O32" s="102"/>
      <c r="P32" s="102"/>
      <c r="Q32" s="102"/>
      <c r="R32" s="102"/>
      <c r="S32" s="102"/>
      <c r="T32" s="102"/>
      <c r="U32" s="102"/>
      <c r="V32" s="102"/>
      <c r="W32" s="102"/>
      <c r="X32" s="102"/>
      <c r="Y32" s="102"/>
      <c r="Z32" s="102"/>
      <c r="AA32" s="90"/>
    </row>
    <row r="33" spans="1:27" x14ac:dyDescent="0.25">
      <c r="A33" s="102"/>
      <c r="B33" s="102"/>
      <c r="C33" s="102"/>
      <c r="D33" s="102"/>
      <c r="E33" s="102"/>
      <c r="F33" s="102"/>
      <c r="G33" s="103"/>
      <c r="H33" s="102"/>
      <c r="I33" s="102"/>
      <c r="J33" s="102"/>
      <c r="K33" s="102"/>
      <c r="L33" s="102"/>
      <c r="M33" s="102"/>
      <c r="N33" s="102"/>
      <c r="O33" s="102"/>
      <c r="P33" s="102"/>
      <c r="Q33" s="102"/>
      <c r="R33" s="102"/>
      <c r="S33" s="102"/>
      <c r="T33" s="102"/>
      <c r="U33" s="102"/>
      <c r="V33" s="102"/>
      <c r="W33" s="102"/>
      <c r="X33" s="102"/>
      <c r="Y33" s="102"/>
      <c r="Z33" s="102"/>
      <c r="AA33" s="90"/>
    </row>
    <row r="34" spans="1:27" ht="15.75" thickBot="1" x14ac:dyDescent="0.3">
      <c r="A34" s="117" t="s">
        <v>154</v>
      </c>
      <c r="B34" s="102"/>
      <c r="C34" s="102"/>
      <c r="D34" s="102"/>
      <c r="E34" s="102"/>
      <c r="F34" s="102"/>
      <c r="G34" s="103"/>
      <c r="H34" s="102"/>
      <c r="I34" s="102"/>
      <c r="J34" s="102"/>
      <c r="K34" s="102"/>
      <c r="L34" s="102"/>
      <c r="M34" s="102"/>
      <c r="N34" s="102"/>
      <c r="O34" s="102"/>
      <c r="P34" s="102"/>
      <c r="Q34" s="102"/>
      <c r="R34" s="102"/>
      <c r="S34" s="102"/>
      <c r="T34" s="102"/>
      <c r="U34" s="102"/>
      <c r="V34" s="102"/>
      <c r="W34" s="102"/>
      <c r="X34" s="102"/>
      <c r="Y34" s="102"/>
      <c r="Z34" s="102"/>
      <c r="AA34" s="90"/>
    </row>
    <row r="35" spans="1:27" ht="18" x14ac:dyDescent="0.35">
      <c r="A35" s="105"/>
      <c r="B35" s="106"/>
      <c r="C35" s="106"/>
      <c r="D35" s="106"/>
      <c r="E35" s="106"/>
      <c r="F35" s="106"/>
      <c r="G35" s="124" t="s">
        <v>451</v>
      </c>
      <c r="H35" s="133">
        <v>50</v>
      </c>
      <c r="I35" s="108" t="s">
        <v>155</v>
      </c>
      <c r="J35" s="102"/>
      <c r="K35" s="102"/>
      <c r="L35" s="102"/>
      <c r="M35" s="102"/>
      <c r="N35" s="102"/>
      <c r="O35" s="102"/>
      <c r="P35" s="102"/>
      <c r="Q35" s="102"/>
      <c r="R35" s="102"/>
      <c r="S35" s="102"/>
      <c r="T35" s="102"/>
      <c r="U35" s="102"/>
      <c r="V35" s="102"/>
      <c r="W35" s="102"/>
      <c r="X35" s="102"/>
      <c r="Y35" s="102"/>
      <c r="Z35" s="102"/>
      <c r="AA35" s="90"/>
    </row>
    <row r="36" spans="1:27" x14ac:dyDescent="0.25">
      <c r="A36" s="109"/>
      <c r="B36" s="102"/>
      <c r="C36" s="102"/>
      <c r="D36" s="102"/>
      <c r="E36" s="102"/>
      <c r="F36" s="102"/>
      <c r="G36" s="103" t="s">
        <v>156</v>
      </c>
      <c r="H36" s="135">
        <f>Cout_min*10^6</f>
        <v>1193.8016528925621</v>
      </c>
      <c r="I36" s="111" t="s">
        <v>157</v>
      </c>
      <c r="J36" s="102"/>
      <c r="K36" s="102"/>
      <c r="L36" s="102"/>
      <c r="M36" s="102"/>
      <c r="N36" s="102"/>
      <c r="O36" s="102"/>
      <c r="P36" s="102"/>
      <c r="Q36" s="102"/>
      <c r="R36" s="102"/>
      <c r="S36" s="102"/>
      <c r="T36" s="102"/>
      <c r="U36" s="102"/>
      <c r="V36" s="102"/>
      <c r="W36" s="102"/>
      <c r="X36" s="102"/>
      <c r="Y36" s="102"/>
      <c r="Z36" s="102"/>
      <c r="AA36" s="90"/>
    </row>
    <row r="37" spans="1:27" ht="18" x14ac:dyDescent="0.35">
      <c r="A37" s="109"/>
      <c r="B37" s="102"/>
      <c r="C37" s="102"/>
      <c r="D37" s="102"/>
      <c r="E37" s="102"/>
      <c r="F37" s="102"/>
      <c r="G37" s="103" t="s">
        <v>158</v>
      </c>
      <c r="H37" s="134">
        <v>1000</v>
      </c>
      <c r="I37" s="111" t="s">
        <v>157</v>
      </c>
      <c r="J37" s="102"/>
      <c r="K37" s="102"/>
      <c r="L37" s="102"/>
      <c r="M37" s="102"/>
      <c r="N37" s="102"/>
      <c r="O37" s="102"/>
      <c r="P37" s="102"/>
      <c r="Q37" s="102"/>
      <c r="R37" s="102"/>
      <c r="S37" s="102"/>
      <c r="T37" s="102"/>
      <c r="U37" s="102"/>
      <c r="V37" s="102"/>
      <c r="W37" s="102"/>
      <c r="X37" s="102"/>
      <c r="Y37" s="102"/>
      <c r="Z37" s="102"/>
      <c r="AA37" s="90"/>
    </row>
    <row r="38" spans="1:27" ht="18.75" thickBot="1" x14ac:dyDescent="0.4">
      <c r="A38" s="119"/>
      <c r="B38" s="115"/>
      <c r="C38" s="115"/>
      <c r="D38" s="115"/>
      <c r="E38" s="115"/>
      <c r="F38" s="115"/>
      <c r="G38" s="122" t="s">
        <v>165</v>
      </c>
      <c r="H38" s="140">
        <v>50</v>
      </c>
      <c r="I38" s="116" t="s">
        <v>92</v>
      </c>
      <c r="J38" s="102"/>
      <c r="K38" s="102"/>
      <c r="L38" s="102"/>
      <c r="M38" s="102"/>
      <c r="N38" s="102"/>
      <c r="O38" s="102"/>
      <c r="P38" s="102"/>
      <c r="Q38" s="102"/>
      <c r="R38" s="102"/>
      <c r="S38" s="102"/>
      <c r="T38" s="102"/>
      <c r="U38" s="102"/>
      <c r="V38" s="102"/>
      <c r="W38" s="102"/>
      <c r="X38" s="102"/>
      <c r="Y38" s="102"/>
      <c r="Z38" s="102"/>
      <c r="AA38" s="90"/>
    </row>
    <row r="39" spans="1:27" x14ac:dyDescent="0.25">
      <c r="A39" s="102"/>
      <c r="B39" s="102"/>
      <c r="C39" s="102"/>
      <c r="D39" s="102"/>
      <c r="E39" s="102"/>
      <c r="F39" s="102"/>
      <c r="G39" s="103"/>
      <c r="H39" s="102"/>
      <c r="I39" s="102"/>
      <c r="J39" s="102"/>
      <c r="K39" s="102"/>
      <c r="L39" s="102"/>
      <c r="M39" s="102"/>
      <c r="N39" s="102"/>
      <c r="O39" s="102"/>
      <c r="P39" s="102"/>
      <c r="Q39" s="102"/>
      <c r="R39" s="102"/>
      <c r="S39" s="102"/>
      <c r="T39" s="102"/>
      <c r="U39" s="102"/>
      <c r="V39" s="102"/>
      <c r="W39" s="102"/>
      <c r="X39" s="102"/>
      <c r="Y39" s="102"/>
      <c r="Z39" s="102"/>
      <c r="AA39" s="90"/>
    </row>
    <row r="40" spans="1:27" ht="15.75" thickBot="1" x14ac:dyDescent="0.3">
      <c r="A40" s="117" t="s">
        <v>548</v>
      </c>
      <c r="B40" s="102"/>
      <c r="C40" s="102"/>
      <c r="D40" s="102"/>
      <c r="E40" s="102"/>
      <c r="F40" s="102"/>
      <c r="G40" s="103"/>
      <c r="H40" s="102"/>
      <c r="I40" s="102"/>
      <c r="J40" s="102"/>
      <c r="K40" s="102"/>
      <c r="L40" s="102"/>
      <c r="M40" s="102"/>
      <c r="N40" s="102"/>
      <c r="O40" s="102"/>
      <c r="P40" s="102"/>
      <c r="Q40" s="102"/>
      <c r="R40" s="102"/>
      <c r="S40" s="102"/>
      <c r="T40" s="102"/>
      <c r="U40" s="102"/>
      <c r="V40" s="102"/>
      <c r="W40" s="102"/>
      <c r="X40" s="102"/>
      <c r="Y40" s="102"/>
      <c r="Z40" s="102"/>
      <c r="AA40" s="90"/>
    </row>
    <row r="41" spans="1:27" ht="18" x14ac:dyDescent="0.35">
      <c r="A41" s="105"/>
      <c r="B41" s="106"/>
      <c r="C41" s="106"/>
      <c r="D41" s="106"/>
      <c r="E41" s="106"/>
      <c r="F41" s="106"/>
      <c r="G41" s="124" t="s">
        <v>285</v>
      </c>
      <c r="H41" s="142">
        <f>Variable_Management!B117*(10^9)</f>
        <v>178.33333333333334</v>
      </c>
      <c r="I41" s="108" t="s">
        <v>183</v>
      </c>
      <c r="J41" s="102"/>
      <c r="K41" s="102"/>
      <c r="L41" s="102"/>
      <c r="M41" s="102"/>
      <c r="N41" s="102"/>
      <c r="O41" s="102"/>
      <c r="P41" s="102"/>
      <c r="Q41" s="102"/>
      <c r="R41" s="102"/>
      <c r="S41" s="102"/>
      <c r="T41" s="102"/>
      <c r="U41" s="102"/>
      <c r="V41" s="102"/>
      <c r="W41" s="102"/>
      <c r="X41" s="102"/>
      <c r="Y41" s="102"/>
      <c r="Z41" s="102"/>
      <c r="AA41" s="90"/>
    </row>
    <row r="42" spans="1:27" ht="18" x14ac:dyDescent="0.35">
      <c r="A42" s="109"/>
      <c r="B42" s="102"/>
      <c r="C42" s="102"/>
      <c r="D42" s="102"/>
      <c r="E42" s="102"/>
      <c r="F42" s="102"/>
      <c r="G42" s="103" t="s">
        <v>290</v>
      </c>
      <c r="H42" s="134">
        <v>10</v>
      </c>
      <c r="I42" s="111" t="s">
        <v>286</v>
      </c>
      <c r="J42" s="102"/>
      <c r="K42" s="102"/>
      <c r="L42" s="102"/>
      <c r="M42" s="102"/>
      <c r="N42" s="102"/>
      <c r="O42" s="102"/>
      <c r="P42" s="102"/>
      <c r="Q42" s="102"/>
      <c r="R42" s="102"/>
      <c r="S42" s="102"/>
      <c r="T42" s="102"/>
      <c r="U42" s="102"/>
      <c r="V42" s="102"/>
      <c r="W42" s="102"/>
      <c r="X42" s="102"/>
      <c r="Y42" s="102"/>
      <c r="Z42" s="102"/>
      <c r="AA42" s="90"/>
    </row>
    <row r="43" spans="1:27" ht="18.75" thickBot="1" x14ac:dyDescent="0.4">
      <c r="A43" s="119"/>
      <c r="B43" s="115"/>
      <c r="C43" s="115"/>
      <c r="D43" s="115"/>
      <c r="E43" s="115"/>
      <c r="F43" s="115"/>
      <c r="G43" s="122" t="s">
        <v>289</v>
      </c>
      <c r="H43" s="143">
        <f>Variable_Management!B119*(10^9)</f>
        <v>251.76470588235296</v>
      </c>
      <c r="I43" s="116" t="s">
        <v>183</v>
      </c>
      <c r="J43" s="102"/>
      <c r="K43" s="102"/>
      <c r="L43" s="102"/>
      <c r="M43" s="102"/>
      <c r="N43" s="102"/>
      <c r="O43" s="102"/>
      <c r="P43" s="102"/>
      <c r="Q43" s="102"/>
      <c r="R43" s="102"/>
      <c r="S43" s="102"/>
      <c r="T43" s="102"/>
      <c r="U43" s="102"/>
      <c r="V43" s="102"/>
      <c r="W43" s="102"/>
      <c r="X43" s="102"/>
      <c r="Y43" s="102"/>
      <c r="Z43" s="102"/>
      <c r="AA43" s="90"/>
    </row>
    <row r="44" spans="1:27" x14ac:dyDescent="0.25">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90"/>
    </row>
    <row r="45" spans="1:27" ht="15.75" thickBot="1" x14ac:dyDescent="0.3">
      <c r="A45" s="117" t="s">
        <v>547</v>
      </c>
      <c r="B45" s="102"/>
      <c r="C45" s="102"/>
      <c r="D45" s="102"/>
      <c r="E45" s="102"/>
      <c r="F45" s="102"/>
      <c r="G45" s="103"/>
      <c r="H45" s="102"/>
      <c r="I45" s="102"/>
      <c r="J45" s="102"/>
      <c r="K45" s="102"/>
      <c r="L45" s="102"/>
      <c r="M45" s="102"/>
      <c r="N45" s="102"/>
      <c r="O45" s="102"/>
      <c r="P45" s="102"/>
      <c r="Q45" s="102"/>
      <c r="R45" s="102"/>
      <c r="S45" s="102"/>
      <c r="T45" s="102"/>
      <c r="U45" s="102"/>
      <c r="V45" s="102"/>
      <c r="W45" s="102"/>
      <c r="X45" s="102"/>
      <c r="Y45" s="102"/>
      <c r="Z45" s="102"/>
      <c r="AA45" s="90"/>
    </row>
    <row r="46" spans="1:27" ht="18" x14ac:dyDescent="0.35">
      <c r="A46" s="105"/>
      <c r="B46" s="106"/>
      <c r="C46" s="106"/>
      <c r="D46" s="106"/>
      <c r="E46" s="106"/>
      <c r="F46" s="106"/>
      <c r="G46" s="124" t="s">
        <v>542</v>
      </c>
      <c r="H46" s="133">
        <v>10</v>
      </c>
      <c r="I46" s="108" t="s">
        <v>10</v>
      </c>
      <c r="J46" s="102"/>
      <c r="K46" s="102"/>
      <c r="L46" s="102"/>
      <c r="M46" s="102"/>
      <c r="N46" s="102"/>
      <c r="O46" s="102"/>
      <c r="P46" s="102"/>
      <c r="Q46" s="102"/>
      <c r="R46" s="102"/>
      <c r="S46" s="102"/>
      <c r="T46" s="102"/>
      <c r="U46" s="102"/>
      <c r="V46" s="102"/>
      <c r="W46" s="102"/>
      <c r="X46" s="102"/>
      <c r="Y46" s="102"/>
      <c r="Z46" s="102"/>
      <c r="AA46" s="90"/>
    </row>
    <row r="47" spans="1:27" ht="18" x14ac:dyDescent="0.35">
      <c r="A47" s="109"/>
      <c r="B47" s="102"/>
      <c r="C47" s="102"/>
      <c r="D47" s="102"/>
      <c r="E47" s="102"/>
      <c r="F47" s="102"/>
      <c r="G47" s="103" t="s">
        <v>543</v>
      </c>
      <c r="H47" s="134">
        <v>9</v>
      </c>
      <c r="I47" s="111" t="s">
        <v>10</v>
      </c>
      <c r="J47" s="102"/>
      <c r="K47" s="102"/>
      <c r="L47" s="102"/>
      <c r="M47" s="102"/>
      <c r="N47" s="102"/>
      <c r="O47" s="102"/>
      <c r="P47" s="102"/>
      <c r="Q47" s="102"/>
      <c r="R47" s="102"/>
      <c r="S47" s="102"/>
      <c r="T47" s="102"/>
      <c r="U47" s="102"/>
      <c r="V47" s="102"/>
      <c r="W47" s="102"/>
      <c r="X47" s="102"/>
      <c r="Y47" s="102"/>
      <c r="Z47" s="102"/>
      <c r="AA47" s="90"/>
    </row>
    <row r="48" spans="1:27" ht="18" x14ac:dyDescent="0.35">
      <c r="A48" s="109"/>
      <c r="B48" s="102"/>
      <c r="C48" s="102"/>
      <c r="D48" s="102"/>
      <c r="E48" s="102"/>
      <c r="F48" s="102"/>
      <c r="G48" s="103" t="s">
        <v>544</v>
      </c>
      <c r="H48" s="141">
        <f>Ruvlo_top_calc/1000</f>
        <v>77.272727272727167</v>
      </c>
      <c r="I48" s="121" t="s">
        <v>181</v>
      </c>
      <c r="J48" s="102"/>
      <c r="K48" s="102"/>
      <c r="L48" s="102"/>
      <c r="M48" s="102"/>
      <c r="N48" s="102"/>
      <c r="O48" s="102"/>
      <c r="P48" s="102"/>
      <c r="Q48" s="102"/>
      <c r="R48" s="102"/>
      <c r="S48" s="102"/>
      <c r="T48" s="102"/>
      <c r="U48" s="102"/>
      <c r="V48" s="102"/>
      <c r="W48" s="102"/>
      <c r="X48" s="102"/>
      <c r="Y48" s="102"/>
      <c r="Z48" s="102"/>
      <c r="AA48" s="90"/>
    </row>
    <row r="49" spans="1:27" ht="18" x14ac:dyDescent="0.35">
      <c r="A49" s="109"/>
      <c r="B49" s="102"/>
      <c r="C49" s="102"/>
      <c r="D49" s="102"/>
      <c r="E49" s="102"/>
      <c r="F49" s="102"/>
      <c r="G49" s="103" t="s">
        <v>545</v>
      </c>
      <c r="H49" s="134">
        <v>77</v>
      </c>
      <c r="I49" s="121" t="s">
        <v>181</v>
      </c>
      <c r="J49" s="102"/>
      <c r="K49" s="102"/>
      <c r="L49" s="102"/>
      <c r="M49" s="102"/>
      <c r="N49" s="102"/>
      <c r="O49" s="102"/>
      <c r="P49" s="102"/>
      <c r="Q49" s="102"/>
      <c r="R49" s="102"/>
      <c r="S49" s="102"/>
      <c r="T49" s="102"/>
      <c r="U49" s="102"/>
      <c r="V49" s="102"/>
      <c r="W49" s="102"/>
      <c r="X49" s="102"/>
      <c r="Y49" s="102"/>
      <c r="Z49" s="102"/>
      <c r="AA49" s="90"/>
    </row>
    <row r="50" spans="1:27" ht="18.75" thickBot="1" x14ac:dyDescent="0.4">
      <c r="A50" s="119"/>
      <c r="B50" s="115"/>
      <c r="C50" s="115"/>
      <c r="D50" s="115"/>
      <c r="E50" s="115"/>
      <c r="F50" s="115"/>
      <c r="G50" s="122" t="s">
        <v>546</v>
      </c>
      <c r="H50" s="167">
        <f>Ruvlo_bottom_calc/1000</f>
        <v>9.5168539325842687</v>
      </c>
      <c r="I50" s="123" t="s">
        <v>181</v>
      </c>
      <c r="J50" s="102"/>
      <c r="K50" s="102"/>
      <c r="L50" s="102"/>
      <c r="M50" s="102"/>
      <c r="N50" s="102"/>
      <c r="O50" s="102"/>
      <c r="P50" s="102"/>
      <c r="Q50" s="102"/>
      <c r="R50" s="102"/>
      <c r="S50" s="102"/>
      <c r="T50" s="102"/>
      <c r="U50" s="102"/>
      <c r="V50" s="102"/>
      <c r="W50" s="102"/>
      <c r="X50" s="102"/>
      <c r="Y50" s="102"/>
      <c r="Z50" s="102"/>
      <c r="AA50" s="90"/>
    </row>
    <row r="51" spans="1:27" x14ac:dyDescent="0.25">
      <c r="A51" s="102"/>
      <c r="B51" s="102"/>
      <c r="C51" s="102"/>
      <c r="D51" s="102"/>
      <c r="E51" s="102"/>
      <c r="F51" s="102"/>
      <c r="G51" s="103"/>
      <c r="H51" s="102"/>
      <c r="I51" s="102"/>
      <c r="J51" s="102"/>
      <c r="K51" s="102"/>
      <c r="L51" s="102"/>
      <c r="M51" s="102"/>
      <c r="N51" s="102"/>
      <c r="O51" s="102"/>
      <c r="P51" s="102"/>
      <c r="Q51" s="102"/>
      <c r="R51" s="102"/>
      <c r="S51" s="102"/>
      <c r="T51" s="102"/>
      <c r="U51" s="102"/>
      <c r="V51" s="102"/>
      <c r="W51" s="102"/>
      <c r="X51" s="102"/>
      <c r="Y51" s="102"/>
      <c r="Z51" s="102"/>
      <c r="AA51" s="90"/>
    </row>
    <row r="52" spans="1:27" x14ac:dyDescent="0.25">
      <c r="A52" s="102"/>
      <c r="B52" s="102"/>
      <c r="C52" s="102"/>
      <c r="D52" s="102"/>
      <c r="E52" s="102"/>
      <c r="F52" s="102"/>
      <c r="G52" s="103"/>
      <c r="H52" s="102"/>
      <c r="I52" s="102"/>
      <c r="J52" s="102"/>
      <c r="K52" s="102"/>
      <c r="L52" s="102"/>
      <c r="M52" s="102"/>
      <c r="N52" s="102"/>
      <c r="O52" s="102"/>
      <c r="P52" s="102"/>
      <c r="Q52" s="102"/>
      <c r="R52" s="102"/>
      <c r="S52" s="102"/>
      <c r="T52" s="102"/>
      <c r="U52" s="102"/>
      <c r="V52" s="102"/>
      <c r="W52" s="102"/>
      <c r="X52" s="102"/>
      <c r="Y52" s="102"/>
      <c r="Z52" s="102"/>
      <c r="AA52" s="90"/>
    </row>
    <row r="53" spans="1:27" ht="15.75" thickBot="1" x14ac:dyDescent="0.3">
      <c r="A53" s="117" t="s">
        <v>313</v>
      </c>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90"/>
    </row>
    <row r="54" spans="1:27" ht="18" x14ac:dyDescent="0.35">
      <c r="A54" s="125"/>
      <c r="B54" s="106"/>
      <c r="C54" s="106"/>
      <c r="D54" s="106"/>
      <c r="E54" s="106"/>
      <c r="F54" s="106"/>
      <c r="G54" s="126" t="s">
        <v>416</v>
      </c>
      <c r="H54" s="144" t="str">
        <f>VIN_nom&amp;"V"</f>
        <v>11V</v>
      </c>
      <c r="I54" s="108"/>
      <c r="J54" s="102"/>
      <c r="K54" s="102"/>
      <c r="L54" s="102"/>
      <c r="M54" s="102"/>
      <c r="N54" s="102"/>
      <c r="O54" s="102"/>
      <c r="P54" s="102"/>
      <c r="Q54" s="102"/>
      <c r="R54" s="102"/>
      <c r="S54" s="102"/>
      <c r="T54" s="102"/>
      <c r="U54" s="102"/>
      <c r="V54" s="102"/>
      <c r="W54" s="102"/>
      <c r="X54" s="102"/>
      <c r="Y54" s="102"/>
      <c r="Z54" s="102"/>
      <c r="AA54" s="90"/>
    </row>
    <row r="55" spans="1:27" x14ac:dyDescent="0.25">
      <c r="A55" s="109"/>
      <c r="B55" s="102"/>
      <c r="C55" s="102"/>
      <c r="D55" s="102"/>
      <c r="E55" s="102"/>
      <c r="F55" s="102"/>
      <c r="G55" s="128" t="s">
        <v>564</v>
      </c>
      <c r="H55" s="145"/>
      <c r="I55" s="111"/>
      <c r="J55" s="102"/>
      <c r="K55" s="102"/>
      <c r="L55" s="102"/>
      <c r="M55" s="102"/>
      <c r="N55" s="102"/>
      <c r="O55" s="102"/>
      <c r="P55" s="102"/>
      <c r="Q55" s="102"/>
      <c r="R55" s="102"/>
      <c r="S55" s="102"/>
      <c r="T55" s="102"/>
      <c r="U55" s="102"/>
      <c r="V55" s="102"/>
      <c r="W55" s="102"/>
      <c r="X55" s="102"/>
      <c r="Y55" s="102"/>
      <c r="Z55" s="102"/>
      <c r="AA55" s="90"/>
    </row>
    <row r="56" spans="1:27" x14ac:dyDescent="0.25">
      <c r="A56" s="127"/>
      <c r="B56" s="102"/>
      <c r="C56" s="102"/>
      <c r="D56" s="102"/>
      <c r="E56" s="102"/>
      <c r="F56" s="102"/>
      <c r="G56" s="103" t="s">
        <v>519</v>
      </c>
      <c r="H56" s="147" t="str">
        <f>CHOOSE(VOUT_range,"Low","High")</f>
        <v>High</v>
      </c>
      <c r="I56" s="111"/>
      <c r="J56" s="102"/>
      <c r="K56" s="102"/>
      <c r="L56" s="102"/>
      <c r="M56" s="102"/>
      <c r="N56" s="102"/>
      <c r="O56" s="102"/>
      <c r="P56" s="102"/>
      <c r="Q56" s="102"/>
      <c r="R56" s="102"/>
      <c r="S56" s="102"/>
      <c r="T56" s="102"/>
      <c r="U56" s="102"/>
      <c r="V56" s="102"/>
      <c r="W56" s="102"/>
      <c r="X56" s="102"/>
      <c r="Y56" s="102"/>
      <c r="Z56" s="102"/>
      <c r="AA56" s="90"/>
    </row>
    <row r="57" spans="1:27" ht="18" x14ac:dyDescent="0.35">
      <c r="A57" s="127"/>
      <c r="B57" s="102"/>
      <c r="C57" s="102"/>
      <c r="D57" s="102"/>
      <c r="E57" s="102"/>
      <c r="F57" s="102"/>
      <c r="G57" s="103" t="s">
        <v>566</v>
      </c>
      <c r="H57" s="146">
        <f>VTRK</f>
        <v>0.89166666666666672</v>
      </c>
      <c r="I57" s="121" t="s">
        <v>10</v>
      </c>
      <c r="J57" s="102"/>
      <c r="K57" s="102"/>
      <c r="L57" s="102"/>
      <c r="M57" s="102"/>
      <c r="N57" s="102"/>
      <c r="O57" s="102"/>
      <c r="P57" s="102"/>
      <c r="Q57" s="102"/>
      <c r="R57" s="102"/>
      <c r="S57" s="102"/>
      <c r="T57" s="102"/>
      <c r="U57" s="102"/>
      <c r="V57" s="102"/>
      <c r="W57" s="102"/>
      <c r="X57" s="102"/>
      <c r="Y57" s="102"/>
      <c r="Z57" s="102"/>
      <c r="AA57" s="90"/>
    </row>
    <row r="58" spans="1:27" ht="18" x14ac:dyDescent="0.35">
      <c r="A58" s="127"/>
      <c r="B58" s="102"/>
      <c r="C58" s="102"/>
      <c r="D58" s="102"/>
      <c r="E58" s="102"/>
      <c r="F58" s="102"/>
      <c r="G58" s="103" t="s">
        <v>599</v>
      </c>
      <c r="H58" s="163">
        <f>Variable_Management!B144/1000</f>
        <v>2.1666666666666643</v>
      </c>
      <c r="I58" s="121" t="s">
        <v>181</v>
      </c>
      <c r="J58" s="102"/>
      <c r="K58" s="102"/>
      <c r="L58" s="102"/>
      <c r="M58" s="102"/>
      <c r="N58" s="102"/>
      <c r="O58" s="102"/>
      <c r="P58" s="102"/>
      <c r="Q58" s="102"/>
      <c r="R58" s="102"/>
      <c r="S58" s="102"/>
      <c r="T58" s="102"/>
      <c r="U58" s="102"/>
      <c r="V58" s="102"/>
      <c r="W58" s="102"/>
      <c r="X58" s="102"/>
      <c r="Y58" s="102"/>
      <c r="Z58" s="102"/>
      <c r="AA58" s="90"/>
    </row>
    <row r="59" spans="1:27" ht="18" x14ac:dyDescent="0.35">
      <c r="A59" s="127"/>
      <c r="B59" s="102"/>
      <c r="C59" s="102"/>
      <c r="D59" s="102"/>
      <c r="E59" s="102"/>
      <c r="F59" s="102"/>
      <c r="G59" s="103" t="s">
        <v>600</v>
      </c>
      <c r="H59" s="163">
        <f>Variable_Management!B143/1000</f>
        <v>3.7916666666666643</v>
      </c>
      <c r="I59" s="121" t="s">
        <v>181</v>
      </c>
      <c r="J59" s="102"/>
      <c r="K59" s="102"/>
      <c r="L59" s="102"/>
      <c r="M59" s="102"/>
      <c r="N59" s="102"/>
      <c r="O59" s="102"/>
      <c r="P59" s="102"/>
      <c r="Q59" s="102"/>
      <c r="R59" s="102"/>
      <c r="S59" s="102"/>
      <c r="T59" s="102"/>
      <c r="U59" s="102"/>
      <c r="V59" s="102"/>
      <c r="W59" s="102"/>
      <c r="X59" s="102"/>
      <c r="Y59" s="102"/>
      <c r="Z59" s="102"/>
      <c r="AA59" s="90"/>
    </row>
    <row r="60" spans="1:27" ht="18" x14ac:dyDescent="0.35">
      <c r="A60" s="127"/>
      <c r="B60" s="102"/>
      <c r="C60" s="102"/>
      <c r="D60" s="102"/>
      <c r="E60" s="102"/>
      <c r="F60" s="102"/>
      <c r="G60" s="103" t="s">
        <v>592</v>
      </c>
      <c r="H60" s="134">
        <v>3.3</v>
      </c>
      <c r="I60" s="121" t="s">
        <v>181</v>
      </c>
      <c r="J60" s="102"/>
      <c r="K60" s="102"/>
      <c r="L60" s="102"/>
      <c r="M60" s="102"/>
      <c r="N60" s="102"/>
      <c r="O60" s="102"/>
      <c r="P60" s="102"/>
      <c r="Q60" s="102"/>
      <c r="R60" s="102"/>
      <c r="S60" s="102"/>
      <c r="T60" s="102"/>
      <c r="U60" s="102"/>
      <c r="V60" s="102"/>
      <c r="W60" s="102"/>
      <c r="X60" s="102"/>
      <c r="Y60" s="102"/>
      <c r="Z60" s="102"/>
      <c r="AA60" s="90"/>
    </row>
    <row r="61" spans="1:27" ht="18" x14ac:dyDescent="0.35">
      <c r="A61" s="109"/>
      <c r="B61" s="102"/>
      <c r="C61" s="102"/>
      <c r="D61" s="102"/>
      <c r="E61" s="102"/>
      <c r="F61" s="102"/>
      <c r="G61" s="103" t="s">
        <v>565</v>
      </c>
      <c r="H61" s="185">
        <f>RFBB_calc/1000</f>
        <v>27.161538461538484</v>
      </c>
      <c r="I61" s="121" t="s">
        <v>181</v>
      </c>
      <c r="J61" s="102"/>
      <c r="K61" s="102"/>
      <c r="L61" s="102"/>
      <c r="M61" s="102"/>
      <c r="N61" s="102"/>
      <c r="O61" s="102"/>
      <c r="P61" s="102"/>
      <c r="Q61" s="102"/>
      <c r="R61" s="102"/>
      <c r="S61" s="102"/>
      <c r="T61" s="102"/>
      <c r="U61" s="102"/>
      <c r="V61" s="102"/>
      <c r="W61" s="102"/>
      <c r="X61" s="102"/>
      <c r="Y61" s="102"/>
      <c r="Z61" s="102"/>
      <c r="AA61" s="90"/>
    </row>
    <row r="62" spans="1:27" ht="18" x14ac:dyDescent="0.35">
      <c r="A62" s="109"/>
      <c r="B62" s="102"/>
      <c r="C62" s="102"/>
      <c r="D62" s="102"/>
      <c r="E62" s="102"/>
      <c r="F62" s="102"/>
      <c r="G62" s="103" t="s">
        <v>596</v>
      </c>
      <c r="H62" s="134">
        <v>27</v>
      </c>
      <c r="I62" s="121" t="s">
        <v>181</v>
      </c>
      <c r="J62" s="102"/>
      <c r="K62" s="102"/>
      <c r="L62" s="102"/>
      <c r="M62" s="102"/>
      <c r="N62" s="102"/>
      <c r="O62" s="102"/>
      <c r="P62" s="102"/>
      <c r="Q62" s="102"/>
      <c r="R62" s="102"/>
      <c r="S62" s="102"/>
      <c r="T62" s="102"/>
      <c r="U62" s="102"/>
      <c r="V62" s="102"/>
      <c r="W62" s="102"/>
      <c r="X62" s="102"/>
      <c r="Y62" s="102"/>
      <c r="Z62" s="102"/>
      <c r="AA62" s="90"/>
    </row>
    <row r="63" spans="1:27" x14ac:dyDescent="0.25">
      <c r="A63" s="109"/>
      <c r="B63" s="102"/>
      <c r="C63" s="102"/>
      <c r="D63" s="102"/>
      <c r="E63" s="102"/>
      <c r="F63" s="102"/>
      <c r="G63" s="103"/>
      <c r="H63" s="136"/>
      <c r="I63" s="121"/>
      <c r="J63" s="102"/>
      <c r="K63" s="102"/>
      <c r="L63" s="102"/>
      <c r="M63" s="102"/>
      <c r="N63" s="102"/>
      <c r="O63" s="102"/>
      <c r="P63" s="102"/>
      <c r="Q63" s="102"/>
      <c r="R63" s="102"/>
      <c r="S63" s="102"/>
      <c r="T63" s="102"/>
      <c r="U63" s="102"/>
      <c r="V63" s="102"/>
      <c r="W63" s="102"/>
      <c r="X63" s="102"/>
      <c r="Y63" s="102"/>
      <c r="Z63" s="102"/>
      <c r="AA63" s="90"/>
    </row>
    <row r="64" spans="1:27" ht="18" x14ac:dyDescent="0.35">
      <c r="A64" s="109"/>
      <c r="B64" s="102"/>
      <c r="C64" s="102"/>
      <c r="D64" s="102"/>
      <c r="E64" s="102"/>
      <c r="F64" s="102"/>
      <c r="G64" s="103" t="s">
        <v>598</v>
      </c>
      <c r="H64" s="163">
        <f>fcross_est/1000</f>
        <v>7.9990646372250609</v>
      </c>
      <c r="I64" s="111" t="s">
        <v>12</v>
      </c>
      <c r="J64" s="102"/>
      <c r="K64" s="102"/>
      <c r="L64" s="102"/>
      <c r="M64" s="102"/>
      <c r="N64" s="102"/>
      <c r="O64" s="102"/>
      <c r="P64" s="102"/>
      <c r="Q64" s="102"/>
      <c r="R64" s="102"/>
      <c r="S64" s="102"/>
      <c r="T64" s="102"/>
      <c r="U64" s="102"/>
      <c r="V64" s="102"/>
      <c r="W64" s="102"/>
      <c r="X64" s="102"/>
      <c r="Y64" s="102"/>
      <c r="Z64" s="102"/>
      <c r="AA64" s="90"/>
    </row>
    <row r="65" spans="1:27" ht="18" x14ac:dyDescent="0.35">
      <c r="A65" s="109"/>
      <c r="B65" s="102"/>
      <c r="C65" s="102"/>
      <c r="D65" s="102"/>
      <c r="E65" s="102"/>
      <c r="F65" s="102"/>
      <c r="G65" s="103" t="s">
        <v>597</v>
      </c>
      <c r="H65" s="134">
        <v>8</v>
      </c>
      <c r="I65" s="111" t="s">
        <v>12</v>
      </c>
      <c r="J65" s="102"/>
      <c r="K65" s="102"/>
      <c r="L65" s="102"/>
      <c r="M65" s="102"/>
      <c r="N65" s="102"/>
      <c r="O65" s="102"/>
      <c r="P65" s="102"/>
      <c r="Q65" s="102"/>
      <c r="R65" s="102"/>
      <c r="S65" s="102"/>
      <c r="T65" s="102"/>
      <c r="U65" s="102"/>
      <c r="V65" s="102"/>
      <c r="W65" s="102"/>
      <c r="X65" s="102"/>
      <c r="Y65" s="102"/>
      <c r="Z65" s="102"/>
      <c r="AA65" s="90"/>
    </row>
    <row r="66" spans="1:27" x14ac:dyDescent="0.25">
      <c r="A66" s="109"/>
      <c r="B66" s="102"/>
      <c r="C66" s="102"/>
      <c r="D66" s="102"/>
      <c r="E66" s="102"/>
      <c r="F66" s="102"/>
      <c r="G66" s="103"/>
      <c r="H66" s="136"/>
      <c r="I66" s="111"/>
      <c r="J66" s="102"/>
      <c r="K66" s="102"/>
      <c r="L66" s="102"/>
      <c r="M66" s="102"/>
      <c r="N66" s="102"/>
      <c r="O66" s="102"/>
      <c r="P66" s="102"/>
      <c r="Q66" s="102"/>
      <c r="R66" s="102"/>
      <c r="S66" s="102"/>
      <c r="T66" s="102"/>
      <c r="U66" s="102"/>
      <c r="V66" s="102"/>
      <c r="W66" s="102"/>
      <c r="X66" s="102"/>
      <c r="Y66" s="102"/>
      <c r="Z66" s="102"/>
      <c r="AA66" s="90"/>
    </row>
    <row r="67" spans="1:27" ht="15.75" thickBot="1" x14ac:dyDescent="0.3">
      <c r="A67" s="109"/>
      <c r="B67" s="102"/>
      <c r="C67" s="102"/>
      <c r="D67" s="102"/>
      <c r="E67" s="102"/>
      <c r="F67" s="129" t="s">
        <v>266</v>
      </c>
      <c r="G67" s="129"/>
      <c r="H67" s="147" t="s">
        <v>267</v>
      </c>
      <c r="I67" s="130"/>
      <c r="J67" s="102"/>
      <c r="K67" s="102"/>
      <c r="L67" s="102"/>
      <c r="M67" s="102"/>
      <c r="N67" s="102"/>
      <c r="O67" s="102"/>
      <c r="P67" s="102"/>
      <c r="Q67" s="102"/>
      <c r="R67" s="102"/>
      <c r="S67" s="102"/>
      <c r="T67" s="102"/>
      <c r="U67" s="102"/>
      <c r="V67" s="102"/>
      <c r="W67" s="102"/>
      <c r="X67" s="102"/>
      <c r="Y67" s="102"/>
      <c r="Z67" s="102"/>
      <c r="AA67" s="90"/>
    </row>
    <row r="68" spans="1:27" ht="18.75" thickBot="1" x14ac:dyDescent="0.4">
      <c r="A68" s="109"/>
      <c r="B68" s="102"/>
      <c r="C68" s="102"/>
      <c r="D68" s="102"/>
      <c r="E68" s="103" t="s">
        <v>265</v>
      </c>
      <c r="F68" s="186">
        <f>RCOMP_Calc/1000</f>
        <v>80.022388593705713</v>
      </c>
      <c r="G68" s="169" t="s">
        <v>181</v>
      </c>
      <c r="H68" s="149">
        <v>80</v>
      </c>
      <c r="I68" s="121" t="s">
        <v>181</v>
      </c>
      <c r="J68" s="102"/>
      <c r="K68" s="102"/>
      <c r="L68" s="102"/>
      <c r="M68" s="102"/>
      <c r="N68" s="102"/>
      <c r="O68" s="102"/>
      <c r="P68" s="102"/>
      <c r="Q68" s="102"/>
      <c r="R68" s="102"/>
      <c r="S68" s="102"/>
      <c r="T68" s="102"/>
      <c r="U68" s="102"/>
      <c r="V68" s="102"/>
      <c r="W68" s="102"/>
      <c r="X68" s="102"/>
      <c r="Y68" s="102"/>
      <c r="Z68" s="102"/>
      <c r="AA68" s="90"/>
    </row>
    <row r="69" spans="1:27" ht="18.75" thickBot="1" x14ac:dyDescent="0.4">
      <c r="A69" s="109"/>
      <c r="B69" s="102"/>
      <c r="C69" s="102"/>
      <c r="D69" s="102"/>
      <c r="E69" s="103" t="s">
        <v>380</v>
      </c>
      <c r="F69" s="186">
        <f>CCOMP_Calc*(10^9)</f>
        <v>3.5188583644581515</v>
      </c>
      <c r="G69" s="169" t="s">
        <v>183</v>
      </c>
      <c r="H69" s="149">
        <v>3.3</v>
      </c>
      <c r="I69" s="111" t="s">
        <v>183</v>
      </c>
      <c r="J69" s="102"/>
      <c r="K69" s="102"/>
      <c r="L69" s="102"/>
      <c r="M69" s="102"/>
      <c r="N69" s="102"/>
      <c r="O69" s="102"/>
      <c r="P69" s="102"/>
      <c r="Q69" s="102"/>
      <c r="R69" s="102"/>
      <c r="S69" s="102"/>
      <c r="T69" s="102"/>
      <c r="U69" s="102"/>
      <c r="V69" s="102"/>
      <c r="W69" s="102"/>
      <c r="X69" s="102"/>
      <c r="Y69" s="102"/>
      <c r="Z69" s="102"/>
      <c r="AA69" s="90"/>
    </row>
    <row r="70" spans="1:27" ht="18.75" thickBot="1" x14ac:dyDescent="0.4">
      <c r="A70" s="119"/>
      <c r="B70" s="115"/>
      <c r="C70" s="115"/>
      <c r="D70" s="115"/>
      <c r="E70" s="122" t="s">
        <v>381</v>
      </c>
      <c r="F70" s="148">
        <f>CHF_calc*(10^12)</f>
        <v>14.120767398649022</v>
      </c>
      <c r="G70" s="170" t="s">
        <v>182</v>
      </c>
      <c r="H70" s="140">
        <v>14</v>
      </c>
      <c r="I70" s="116" t="s">
        <v>182</v>
      </c>
      <c r="J70" s="102"/>
      <c r="K70" s="102"/>
      <c r="L70" s="102"/>
      <c r="M70" s="102"/>
      <c r="N70" s="102"/>
      <c r="O70" s="102"/>
      <c r="P70" s="102"/>
      <c r="Q70" s="102"/>
      <c r="R70" s="102"/>
      <c r="S70" s="102"/>
      <c r="T70" s="102"/>
      <c r="U70" s="102"/>
      <c r="V70" s="102"/>
      <c r="W70" s="102"/>
      <c r="X70" s="102"/>
      <c r="Y70" s="102"/>
      <c r="Z70" s="102"/>
      <c r="AA70" s="90"/>
    </row>
    <row r="71" spans="1:27" x14ac:dyDescent="0.25">
      <c r="A71" s="92"/>
      <c r="B71" s="92"/>
      <c r="C71" s="92"/>
      <c r="D71" s="92"/>
      <c r="E71" s="93"/>
      <c r="F71" s="184"/>
      <c r="G71" s="93"/>
      <c r="H71" s="92"/>
      <c r="I71" s="92"/>
      <c r="J71" s="92"/>
      <c r="K71" s="92"/>
      <c r="L71" s="92"/>
      <c r="M71" s="92"/>
      <c r="N71" s="92"/>
      <c r="O71" s="92"/>
      <c r="P71" s="92"/>
      <c r="Q71" s="92"/>
      <c r="R71" s="92"/>
      <c r="S71" s="92"/>
      <c r="T71" s="92"/>
      <c r="U71" s="92"/>
      <c r="V71" s="92"/>
      <c r="W71" s="92"/>
      <c r="X71" s="92"/>
      <c r="Y71" s="92"/>
      <c r="Z71" s="92"/>
      <c r="AA71" s="90"/>
    </row>
    <row r="72" spans="1:27" s="159" customFormat="1" ht="23.25" x14ac:dyDescent="0.35">
      <c r="A72" s="171" t="s">
        <v>264</v>
      </c>
      <c r="B72" s="172"/>
      <c r="C72" s="172"/>
      <c r="D72" s="172"/>
      <c r="E72" s="172"/>
      <c r="F72" s="172"/>
      <c r="G72" s="173"/>
      <c r="H72" s="172"/>
      <c r="I72" s="172"/>
      <c r="J72" s="172"/>
      <c r="K72" s="172"/>
      <c r="L72" s="172"/>
      <c r="M72" s="172"/>
      <c r="N72" s="172"/>
      <c r="O72" s="172"/>
      <c r="P72" s="172"/>
      <c r="Q72" s="172"/>
      <c r="R72" s="172"/>
      <c r="S72" s="172"/>
      <c r="T72" s="172"/>
      <c r="U72" s="172"/>
      <c r="V72" s="172"/>
      <c r="W72" s="172"/>
      <c r="X72" s="174"/>
      <c r="Y72" s="174"/>
      <c r="Z72" s="174"/>
      <c r="AA72" s="189"/>
    </row>
    <row r="73" spans="1:27" s="159" customFormat="1" x14ac:dyDescent="0.2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4"/>
      <c r="Y73" s="174"/>
      <c r="Z73" s="174"/>
      <c r="AA73" s="189"/>
    </row>
    <row r="74" spans="1:27" s="159" customFormat="1" ht="18.75" thickBot="1" x14ac:dyDescent="0.4">
      <c r="A74" s="175" t="s">
        <v>594</v>
      </c>
      <c r="B74" s="172"/>
      <c r="C74" s="172"/>
      <c r="D74" s="172"/>
      <c r="E74" s="172"/>
      <c r="F74" s="172"/>
      <c r="G74" s="172"/>
      <c r="H74" s="172"/>
      <c r="I74" s="172"/>
      <c r="J74" s="172"/>
      <c r="K74" s="172"/>
      <c r="L74" s="172"/>
      <c r="M74" s="172"/>
      <c r="N74" s="172"/>
      <c r="O74" s="172"/>
      <c r="P74" s="172"/>
      <c r="Q74" s="172"/>
      <c r="R74" s="172"/>
      <c r="S74" s="172"/>
      <c r="T74" s="172"/>
      <c r="U74" s="172"/>
      <c r="V74" s="172"/>
      <c r="W74" s="172"/>
      <c r="X74" s="174"/>
      <c r="Y74" s="174"/>
      <c r="Z74" s="174"/>
      <c r="AA74" s="189"/>
    </row>
    <row r="75" spans="1:27" s="159" customFormat="1" ht="15.75" x14ac:dyDescent="0.3">
      <c r="A75" s="190"/>
      <c r="B75" s="191"/>
      <c r="C75" s="191"/>
      <c r="D75" s="191"/>
      <c r="E75" s="191"/>
      <c r="F75" s="191"/>
      <c r="G75" s="192" t="s">
        <v>510</v>
      </c>
      <c r="H75" s="207">
        <v>4</v>
      </c>
      <c r="I75" s="193" t="s">
        <v>334</v>
      </c>
      <c r="J75" s="172"/>
      <c r="K75" s="172"/>
      <c r="L75" s="172"/>
      <c r="M75" s="172"/>
      <c r="N75" s="172"/>
      <c r="O75" s="172"/>
      <c r="P75" s="172"/>
      <c r="Q75" s="172"/>
      <c r="R75" s="172"/>
      <c r="S75" s="172"/>
      <c r="T75" s="172"/>
      <c r="U75" s="172"/>
      <c r="V75" s="172"/>
      <c r="W75" s="172"/>
      <c r="X75" s="174"/>
      <c r="Y75" s="174"/>
      <c r="Z75" s="174"/>
      <c r="AA75" s="189"/>
    </row>
    <row r="76" spans="1:27" s="159" customFormat="1" ht="15.75" x14ac:dyDescent="0.3">
      <c r="A76" s="194"/>
      <c r="B76" s="172"/>
      <c r="C76" s="172"/>
      <c r="D76" s="172"/>
      <c r="E76" s="172"/>
      <c r="F76" s="172"/>
      <c r="G76" s="176" t="s">
        <v>511</v>
      </c>
      <c r="H76" s="208">
        <v>12</v>
      </c>
      <c r="I76" s="195" t="s">
        <v>335</v>
      </c>
      <c r="J76" s="172"/>
      <c r="K76" s="172"/>
      <c r="L76" s="172"/>
      <c r="M76" s="172"/>
      <c r="N76" s="172"/>
      <c r="O76" s="172"/>
      <c r="P76" s="172"/>
      <c r="Q76" s="172"/>
      <c r="R76" s="172"/>
      <c r="S76" s="172"/>
      <c r="T76" s="172"/>
      <c r="U76" s="172"/>
      <c r="V76" s="172"/>
      <c r="W76" s="172"/>
      <c r="X76" s="174"/>
      <c r="Y76" s="174"/>
      <c r="Z76" s="174"/>
      <c r="AA76" s="189"/>
    </row>
    <row r="77" spans="1:27" s="159" customFormat="1" ht="15.75" x14ac:dyDescent="0.3">
      <c r="A77" s="194"/>
      <c r="B77" s="172"/>
      <c r="C77" s="172"/>
      <c r="D77" s="172"/>
      <c r="E77" s="172"/>
      <c r="F77" s="172"/>
      <c r="G77" s="176" t="s">
        <v>512</v>
      </c>
      <c r="H77" s="208">
        <v>1.7</v>
      </c>
      <c r="I77" s="195" t="s">
        <v>335</v>
      </c>
      <c r="J77" s="172"/>
      <c r="K77" s="172"/>
      <c r="L77" s="172"/>
      <c r="M77" s="172"/>
      <c r="N77" s="172"/>
      <c r="O77" s="172"/>
      <c r="P77" s="172"/>
      <c r="Q77" s="172"/>
      <c r="R77" s="172"/>
      <c r="S77" s="172"/>
      <c r="T77" s="172"/>
      <c r="U77" s="172"/>
      <c r="V77" s="172"/>
      <c r="W77" s="172"/>
      <c r="X77" s="174"/>
      <c r="Y77" s="174"/>
      <c r="Z77" s="174"/>
      <c r="AA77" s="189"/>
    </row>
    <row r="78" spans="1:27" s="159" customFormat="1" ht="15.75" x14ac:dyDescent="0.3">
      <c r="A78" s="196"/>
      <c r="B78" s="172"/>
      <c r="C78" s="172"/>
      <c r="D78" s="172"/>
      <c r="E78" s="172"/>
      <c r="F78" s="172"/>
      <c r="G78" s="176" t="s">
        <v>513</v>
      </c>
      <c r="H78" s="208">
        <v>1.9</v>
      </c>
      <c r="I78" s="195" t="s">
        <v>335</v>
      </c>
      <c r="J78" s="172"/>
      <c r="K78" s="172"/>
      <c r="L78" s="172"/>
      <c r="M78" s="172"/>
      <c r="N78" s="172"/>
      <c r="O78" s="172"/>
      <c r="P78" s="172"/>
      <c r="Q78" s="172"/>
      <c r="R78" s="172"/>
      <c r="S78" s="172"/>
      <c r="T78" s="172"/>
      <c r="U78" s="172"/>
      <c r="V78" s="172"/>
      <c r="W78" s="172"/>
      <c r="X78" s="174"/>
      <c r="Y78" s="174"/>
      <c r="Z78" s="174"/>
      <c r="AA78" s="189"/>
    </row>
    <row r="79" spans="1:27" s="159" customFormat="1" ht="15.75" x14ac:dyDescent="0.3">
      <c r="A79" s="196"/>
      <c r="B79" s="172"/>
      <c r="C79" s="172"/>
      <c r="D79" s="172"/>
      <c r="E79" s="172"/>
      <c r="F79" s="172"/>
      <c r="G79" s="176" t="s">
        <v>514</v>
      </c>
      <c r="H79" s="208">
        <v>2.2000000000000002</v>
      </c>
      <c r="I79" s="195" t="s">
        <v>336</v>
      </c>
      <c r="J79" s="172"/>
      <c r="K79" s="172"/>
      <c r="L79" s="172"/>
      <c r="M79" s="172"/>
      <c r="N79" s="172"/>
      <c r="O79" s="172"/>
      <c r="P79" s="172"/>
      <c r="Q79" s="172"/>
      <c r="R79" s="172"/>
      <c r="S79" s="172"/>
      <c r="T79" s="172"/>
      <c r="U79" s="172"/>
      <c r="V79" s="172"/>
      <c r="W79" s="172"/>
      <c r="X79" s="174"/>
      <c r="Y79" s="174"/>
      <c r="Z79" s="174"/>
      <c r="AA79" s="189"/>
    </row>
    <row r="80" spans="1:27" s="159" customFormat="1" ht="16.5" thickBot="1" x14ac:dyDescent="0.35">
      <c r="A80" s="197"/>
      <c r="B80" s="198"/>
      <c r="C80" s="198"/>
      <c r="D80" s="198"/>
      <c r="E80" s="198"/>
      <c r="F80" s="198"/>
      <c r="G80" s="199" t="s">
        <v>515</v>
      </c>
      <c r="H80" s="209">
        <v>1</v>
      </c>
      <c r="I80" s="200" t="s">
        <v>10</v>
      </c>
      <c r="J80" s="172"/>
      <c r="K80" s="172"/>
      <c r="L80" s="172"/>
      <c r="M80" s="172"/>
      <c r="N80" s="172"/>
      <c r="O80" s="172"/>
      <c r="P80" s="172"/>
      <c r="Q80" s="172"/>
      <c r="R80" s="172"/>
      <c r="S80" s="172"/>
      <c r="T80" s="172"/>
      <c r="U80" s="172"/>
      <c r="V80" s="172"/>
      <c r="W80" s="172"/>
      <c r="X80" s="174"/>
      <c r="Y80" s="174"/>
      <c r="Z80" s="174"/>
      <c r="AA80" s="189"/>
    </row>
    <row r="81" spans="1:27" s="159" customFormat="1" x14ac:dyDescent="0.25">
      <c r="A81" s="172"/>
      <c r="B81" s="172"/>
      <c r="C81" s="172"/>
      <c r="D81" s="172"/>
      <c r="E81" s="172"/>
      <c r="F81" s="172"/>
      <c r="G81" s="173"/>
      <c r="H81" s="172"/>
      <c r="I81" s="172"/>
      <c r="J81" s="172"/>
      <c r="K81" s="172"/>
      <c r="L81" s="172"/>
      <c r="M81" s="172"/>
      <c r="N81" s="172"/>
      <c r="O81" s="172"/>
      <c r="P81" s="172"/>
      <c r="Q81" s="172"/>
      <c r="R81" s="172"/>
      <c r="S81" s="172"/>
      <c r="T81" s="172"/>
      <c r="U81" s="172"/>
      <c r="V81" s="172"/>
      <c r="W81" s="172"/>
      <c r="X81" s="174"/>
      <c r="Y81" s="174"/>
      <c r="Z81" s="174"/>
      <c r="AA81" s="189"/>
    </row>
    <row r="82" spans="1:27" s="159" customFormat="1" ht="18.75" thickBot="1" x14ac:dyDescent="0.4">
      <c r="A82" s="175" t="s">
        <v>595</v>
      </c>
      <c r="B82" s="172"/>
      <c r="C82" s="172"/>
      <c r="D82" s="172"/>
      <c r="E82" s="172"/>
      <c r="F82" s="172"/>
      <c r="G82" s="173"/>
      <c r="H82" s="172"/>
      <c r="I82" s="172"/>
      <c r="J82" s="172"/>
      <c r="K82" s="172"/>
      <c r="L82" s="172"/>
      <c r="M82" s="172"/>
      <c r="N82" s="172"/>
      <c r="O82" s="172"/>
      <c r="P82" s="172"/>
      <c r="Q82" s="172"/>
      <c r="R82" s="172"/>
      <c r="S82" s="172"/>
      <c r="T82" s="172"/>
      <c r="U82" s="172"/>
      <c r="V82" s="172"/>
      <c r="W82" s="172"/>
      <c r="X82" s="174"/>
      <c r="Y82" s="174"/>
      <c r="Z82" s="174"/>
      <c r="AA82" s="189"/>
    </row>
    <row r="83" spans="1:27" s="159" customFormat="1" ht="15.75" x14ac:dyDescent="0.3">
      <c r="A83" s="190"/>
      <c r="B83" s="191"/>
      <c r="C83" s="191"/>
      <c r="D83" s="191"/>
      <c r="E83" s="191"/>
      <c r="F83" s="191"/>
      <c r="G83" s="192" t="s">
        <v>583</v>
      </c>
      <c r="H83" s="207">
        <v>4</v>
      </c>
      <c r="I83" s="193" t="s">
        <v>334</v>
      </c>
      <c r="J83" s="172"/>
      <c r="K83" s="172"/>
      <c r="L83" s="172"/>
      <c r="M83" s="172"/>
      <c r="N83" s="172"/>
      <c r="O83" s="172"/>
      <c r="P83" s="172"/>
      <c r="Q83" s="172"/>
      <c r="R83" s="172"/>
      <c r="S83" s="172"/>
      <c r="T83" s="172"/>
      <c r="U83" s="172"/>
      <c r="V83" s="172"/>
      <c r="W83" s="172"/>
      <c r="X83" s="174"/>
      <c r="Y83" s="174"/>
      <c r="Z83" s="174"/>
      <c r="AA83" s="189"/>
    </row>
    <row r="84" spans="1:27" s="159" customFormat="1" ht="15.75" x14ac:dyDescent="0.3">
      <c r="A84" s="196"/>
      <c r="B84" s="172"/>
      <c r="C84" s="172"/>
      <c r="D84" s="172"/>
      <c r="E84" s="172"/>
      <c r="F84" s="172"/>
      <c r="G84" s="176" t="s">
        <v>584</v>
      </c>
      <c r="H84" s="208">
        <v>12</v>
      </c>
      <c r="I84" s="195" t="s">
        <v>335</v>
      </c>
      <c r="J84" s="172"/>
      <c r="K84" s="172"/>
      <c r="L84" s="172"/>
      <c r="M84" s="172"/>
      <c r="N84" s="172"/>
      <c r="O84" s="172"/>
      <c r="P84" s="172"/>
      <c r="Q84" s="172"/>
      <c r="R84" s="172"/>
      <c r="S84" s="172"/>
      <c r="T84" s="172"/>
      <c r="U84" s="172"/>
      <c r="V84" s="172"/>
      <c r="W84" s="172"/>
      <c r="X84" s="174"/>
      <c r="Y84" s="174"/>
      <c r="Z84" s="174"/>
      <c r="AA84" s="189"/>
    </row>
    <row r="85" spans="1:27" s="159" customFormat="1" ht="15.75" x14ac:dyDescent="0.3">
      <c r="A85" s="196"/>
      <c r="B85" s="172"/>
      <c r="C85" s="172"/>
      <c r="D85" s="172"/>
      <c r="E85" s="172"/>
      <c r="F85" s="172"/>
      <c r="G85" s="176" t="s">
        <v>585</v>
      </c>
      <c r="H85" s="208">
        <v>1.7</v>
      </c>
      <c r="I85" s="195" t="s">
        <v>335</v>
      </c>
      <c r="J85" s="172"/>
      <c r="K85" s="172"/>
      <c r="L85" s="172"/>
      <c r="M85" s="172"/>
      <c r="N85" s="172"/>
      <c r="O85" s="172"/>
      <c r="P85" s="172"/>
      <c r="Q85" s="172"/>
      <c r="R85" s="172"/>
      <c r="S85" s="172"/>
      <c r="T85" s="172"/>
      <c r="U85" s="172"/>
      <c r="V85" s="172"/>
      <c r="W85" s="172"/>
      <c r="X85" s="174"/>
      <c r="Y85" s="174"/>
      <c r="Z85" s="174"/>
      <c r="AA85" s="189"/>
    </row>
    <row r="86" spans="1:27" s="159" customFormat="1" ht="15.75" x14ac:dyDescent="0.3">
      <c r="A86" s="196"/>
      <c r="B86" s="172"/>
      <c r="C86" s="172"/>
      <c r="D86" s="172"/>
      <c r="E86" s="172"/>
      <c r="F86" s="172"/>
      <c r="G86" s="176" t="s">
        <v>586</v>
      </c>
      <c r="H86" s="208">
        <v>1.9</v>
      </c>
      <c r="I86" s="195" t="s">
        <v>335</v>
      </c>
      <c r="J86" s="172"/>
      <c r="K86" s="172"/>
      <c r="L86" s="172"/>
      <c r="M86" s="172"/>
      <c r="N86" s="172"/>
      <c r="O86" s="172"/>
      <c r="P86" s="172"/>
      <c r="Q86" s="172"/>
      <c r="R86" s="172"/>
      <c r="S86" s="172"/>
      <c r="T86" s="172"/>
      <c r="U86" s="172"/>
      <c r="V86" s="172"/>
      <c r="W86" s="172"/>
      <c r="X86" s="174"/>
      <c r="Y86" s="174"/>
      <c r="Z86" s="174"/>
      <c r="AA86" s="189"/>
    </row>
    <row r="87" spans="1:27" s="159" customFormat="1" ht="15.75" x14ac:dyDescent="0.3">
      <c r="A87" s="196"/>
      <c r="B87" s="172"/>
      <c r="C87" s="172"/>
      <c r="D87" s="172"/>
      <c r="E87" s="172"/>
      <c r="F87" s="172"/>
      <c r="G87" s="176" t="s">
        <v>582</v>
      </c>
      <c r="H87" s="208">
        <v>2.2000000000000002</v>
      </c>
      <c r="I87" s="195" t="s">
        <v>336</v>
      </c>
      <c r="J87" s="172"/>
      <c r="K87" s="172"/>
      <c r="L87" s="172"/>
      <c r="M87" s="172"/>
      <c r="N87" s="172"/>
      <c r="O87" s="172"/>
      <c r="P87" s="172"/>
      <c r="Q87" s="172"/>
      <c r="R87" s="172"/>
      <c r="S87" s="172"/>
      <c r="T87" s="172"/>
      <c r="U87" s="172"/>
      <c r="V87" s="172"/>
      <c r="W87" s="172"/>
      <c r="X87" s="174"/>
      <c r="Y87" s="174"/>
      <c r="Z87" s="174"/>
      <c r="AA87" s="189"/>
    </row>
    <row r="88" spans="1:27" s="159" customFormat="1" ht="15.75" x14ac:dyDescent="0.3">
      <c r="A88" s="196"/>
      <c r="B88" s="172"/>
      <c r="C88" s="172"/>
      <c r="D88" s="172"/>
      <c r="E88" s="172"/>
      <c r="F88" s="172"/>
      <c r="G88" s="176" t="s">
        <v>581</v>
      </c>
      <c r="H88" s="208">
        <v>1</v>
      </c>
      <c r="I88" s="195" t="s">
        <v>10</v>
      </c>
      <c r="J88" s="172"/>
      <c r="K88" s="172"/>
      <c r="L88" s="172"/>
      <c r="M88" s="172"/>
      <c r="N88" s="172"/>
      <c r="O88" s="172"/>
      <c r="P88" s="172"/>
      <c r="Q88" s="172"/>
      <c r="R88" s="172"/>
      <c r="S88" s="172"/>
      <c r="T88" s="172"/>
      <c r="U88" s="172"/>
      <c r="V88" s="172"/>
      <c r="W88" s="172"/>
      <c r="X88" s="174"/>
      <c r="Y88" s="174"/>
      <c r="Z88" s="174"/>
      <c r="AA88" s="189"/>
    </row>
    <row r="89" spans="1:27" s="159" customFormat="1" ht="18" x14ac:dyDescent="0.35">
      <c r="A89" s="196"/>
      <c r="B89" s="172"/>
      <c r="C89" s="172"/>
      <c r="D89" s="172"/>
      <c r="E89" s="172"/>
      <c r="F89" s="172"/>
      <c r="G89" s="173" t="s">
        <v>579</v>
      </c>
      <c r="H89" s="208">
        <v>0</v>
      </c>
      <c r="I89" s="201" t="s">
        <v>335</v>
      </c>
      <c r="J89" s="172"/>
      <c r="K89" s="172"/>
      <c r="L89" s="172"/>
      <c r="M89" s="172"/>
      <c r="N89" s="172"/>
      <c r="O89" s="172"/>
      <c r="P89" s="172"/>
      <c r="Q89" s="172"/>
      <c r="R89" s="172"/>
      <c r="S89" s="172"/>
      <c r="T89" s="172"/>
      <c r="U89" s="172"/>
      <c r="V89" s="172"/>
      <c r="W89" s="172"/>
      <c r="X89" s="174"/>
      <c r="Y89" s="174"/>
      <c r="Z89" s="174"/>
      <c r="AA89" s="189"/>
    </row>
    <row r="90" spans="1:27" s="159" customFormat="1" ht="18.75" thickBot="1" x14ac:dyDescent="0.4">
      <c r="A90" s="197"/>
      <c r="B90" s="198"/>
      <c r="C90" s="198"/>
      <c r="D90" s="198"/>
      <c r="E90" s="198"/>
      <c r="F90" s="198"/>
      <c r="G90" s="202" t="s">
        <v>580</v>
      </c>
      <c r="H90" s="209">
        <v>0.6</v>
      </c>
      <c r="I90" s="203" t="s">
        <v>10</v>
      </c>
      <c r="J90" s="172"/>
      <c r="K90" s="172"/>
      <c r="L90" s="172"/>
      <c r="M90" s="172"/>
      <c r="N90" s="172"/>
      <c r="O90" s="172"/>
      <c r="P90" s="172"/>
      <c r="Q90" s="172"/>
      <c r="R90" s="172"/>
      <c r="S90" s="172"/>
      <c r="T90" s="172"/>
      <c r="U90" s="172"/>
      <c r="V90" s="172"/>
      <c r="W90" s="172"/>
      <c r="X90" s="174"/>
      <c r="Y90" s="174"/>
      <c r="Z90" s="174"/>
      <c r="AA90" s="189"/>
    </row>
    <row r="91" spans="1:27" x14ac:dyDescent="0.25">
      <c r="A91" s="172"/>
      <c r="B91" s="172"/>
      <c r="C91" s="172"/>
      <c r="D91" s="172"/>
      <c r="E91" s="172"/>
      <c r="F91" s="172"/>
      <c r="G91" s="173"/>
      <c r="H91" s="172"/>
      <c r="I91" s="172"/>
      <c r="J91" s="172"/>
      <c r="K91" s="172"/>
      <c r="L91" s="172"/>
      <c r="M91" s="172"/>
      <c r="N91" s="172"/>
      <c r="O91" s="172"/>
      <c r="P91" s="172"/>
      <c r="Q91" s="172"/>
      <c r="R91" s="172"/>
      <c r="S91" s="172"/>
      <c r="T91" s="172"/>
      <c r="U91" s="172"/>
      <c r="V91" s="172"/>
      <c r="W91" s="172"/>
      <c r="X91" s="102"/>
      <c r="Y91" s="102"/>
      <c r="Z91" s="102"/>
      <c r="AA91" s="92"/>
    </row>
    <row r="92" spans="1:27" x14ac:dyDescent="0.25">
      <c r="A92" s="172"/>
      <c r="B92" s="172"/>
      <c r="C92" s="172"/>
      <c r="D92" s="172"/>
      <c r="E92" s="172"/>
      <c r="F92" s="172"/>
      <c r="G92" s="173"/>
      <c r="H92" s="172"/>
      <c r="I92" s="172"/>
      <c r="J92" s="172"/>
      <c r="K92" s="172"/>
      <c r="L92" s="172"/>
      <c r="M92" s="172"/>
      <c r="N92" s="172"/>
      <c r="O92" s="172"/>
      <c r="P92" s="172"/>
      <c r="Q92" s="172"/>
      <c r="R92" s="172"/>
      <c r="S92" s="172"/>
      <c r="T92" s="172"/>
      <c r="U92" s="172"/>
      <c r="V92" s="172"/>
      <c r="W92" s="172"/>
      <c r="X92" s="102"/>
      <c r="Y92" s="102"/>
      <c r="Z92" s="102"/>
      <c r="AA92" s="92"/>
    </row>
    <row r="93" spans="1:27" x14ac:dyDescent="0.25">
      <c r="A93" s="172"/>
      <c r="B93" s="172"/>
      <c r="C93" s="172"/>
      <c r="D93" s="172"/>
      <c r="E93" s="172"/>
      <c r="F93" s="172"/>
      <c r="G93" s="173"/>
      <c r="H93" s="172"/>
      <c r="I93" s="172"/>
      <c r="J93" s="172"/>
      <c r="K93" s="172"/>
      <c r="L93" s="172"/>
      <c r="M93" s="172"/>
      <c r="N93" s="172"/>
      <c r="O93" s="172"/>
      <c r="P93" s="172"/>
      <c r="Q93" s="172"/>
      <c r="R93" s="172"/>
      <c r="S93" s="172"/>
      <c r="T93" s="172"/>
      <c r="U93" s="172"/>
      <c r="V93" s="172"/>
      <c r="W93" s="172"/>
      <c r="X93" s="102"/>
      <c r="Y93" s="102"/>
      <c r="Z93" s="102"/>
      <c r="AA93" s="92"/>
    </row>
    <row r="94" spans="1:27" x14ac:dyDescent="0.25">
      <c r="A94" s="172"/>
      <c r="B94" s="172"/>
      <c r="C94" s="172"/>
      <c r="D94" s="172"/>
      <c r="E94" s="172"/>
      <c r="F94" s="172"/>
      <c r="G94" s="173"/>
      <c r="H94" s="172"/>
      <c r="I94" s="172"/>
      <c r="J94" s="172"/>
      <c r="K94" s="172"/>
      <c r="L94" s="172"/>
      <c r="M94" s="172"/>
      <c r="N94" s="172"/>
      <c r="O94" s="172"/>
      <c r="P94" s="172"/>
      <c r="Q94" s="172"/>
      <c r="R94" s="172"/>
      <c r="S94" s="172"/>
      <c r="T94" s="172"/>
      <c r="U94" s="172"/>
      <c r="V94" s="172"/>
      <c r="W94" s="172"/>
      <c r="X94" s="102"/>
      <c r="Y94" s="102"/>
      <c r="Z94" s="102"/>
      <c r="AA94" s="92"/>
    </row>
    <row r="95" spans="1:27" x14ac:dyDescent="0.25">
      <c r="A95" s="172"/>
      <c r="B95" s="172"/>
      <c r="C95" s="172"/>
      <c r="D95" s="172"/>
      <c r="E95" s="172"/>
      <c r="F95" s="172"/>
      <c r="G95" s="173"/>
      <c r="H95" s="172"/>
      <c r="I95" s="172"/>
      <c r="J95" s="172"/>
      <c r="K95" s="172"/>
      <c r="L95" s="172"/>
      <c r="M95" s="172"/>
      <c r="N95" s="172"/>
      <c r="O95" s="172"/>
      <c r="P95" s="172"/>
      <c r="Q95" s="172"/>
      <c r="R95" s="172"/>
      <c r="S95" s="172"/>
      <c r="T95" s="172"/>
      <c r="U95" s="172"/>
      <c r="V95" s="172"/>
      <c r="W95" s="172"/>
      <c r="X95" s="102"/>
      <c r="Y95" s="102"/>
      <c r="Z95" s="102"/>
      <c r="AA95" s="92"/>
    </row>
    <row r="96" spans="1:27" x14ac:dyDescent="0.25">
      <c r="A96" s="102"/>
      <c r="B96" s="102"/>
      <c r="C96" s="102"/>
      <c r="D96" s="102"/>
      <c r="E96" s="102"/>
      <c r="F96" s="102"/>
      <c r="G96" s="103"/>
      <c r="H96" s="102"/>
      <c r="I96" s="102"/>
      <c r="J96" s="102"/>
      <c r="K96" s="102"/>
      <c r="L96" s="102"/>
      <c r="M96" s="102"/>
      <c r="N96" s="102"/>
      <c r="O96" s="102"/>
      <c r="P96" s="102"/>
      <c r="Q96" s="102"/>
      <c r="R96" s="102"/>
      <c r="S96" s="102"/>
      <c r="T96" s="102"/>
      <c r="U96" s="102"/>
      <c r="V96" s="102"/>
      <c r="W96" s="102"/>
      <c r="X96" s="102"/>
      <c r="Y96" s="102"/>
      <c r="Z96" s="102"/>
      <c r="AA96" s="92"/>
    </row>
    <row r="97" spans="1:27" x14ac:dyDescent="0.25">
      <c r="A97" s="102"/>
      <c r="B97" s="102"/>
      <c r="C97" s="102"/>
      <c r="D97" s="102"/>
      <c r="E97" s="102"/>
      <c r="F97" s="102"/>
      <c r="G97" s="103"/>
      <c r="H97" s="102"/>
      <c r="I97" s="102"/>
      <c r="J97" s="102"/>
      <c r="K97" s="102"/>
      <c r="L97" s="102"/>
      <c r="M97" s="102"/>
      <c r="N97" s="102"/>
      <c r="O97" s="102"/>
      <c r="P97" s="102"/>
      <c r="Q97" s="102"/>
      <c r="R97" s="102"/>
      <c r="S97" s="102"/>
      <c r="T97" s="102"/>
      <c r="U97" s="102"/>
      <c r="V97" s="102"/>
      <c r="W97" s="102"/>
      <c r="X97" s="102"/>
      <c r="Y97" s="102"/>
      <c r="Z97" s="102"/>
      <c r="AA97" s="92"/>
    </row>
    <row r="98" spans="1:27" x14ac:dyDescent="0.25">
      <c r="A98" s="92"/>
      <c r="B98" s="92"/>
      <c r="C98" s="92"/>
      <c r="D98" s="92"/>
      <c r="E98" s="92"/>
      <c r="F98" s="92"/>
      <c r="G98" s="93"/>
      <c r="H98" s="92"/>
      <c r="I98" s="92"/>
      <c r="J98" s="92"/>
      <c r="K98" s="92"/>
      <c r="L98" s="92"/>
      <c r="M98" s="92"/>
      <c r="N98" s="92"/>
      <c r="O98" s="92"/>
      <c r="P98" s="92"/>
      <c r="Q98" s="92"/>
      <c r="R98" s="92"/>
      <c r="S98" s="92"/>
      <c r="T98" s="92"/>
      <c r="U98" s="92"/>
      <c r="V98" s="92"/>
      <c r="W98" s="92"/>
      <c r="X98" s="92"/>
      <c r="Y98" s="92"/>
      <c r="Z98" s="92"/>
      <c r="AA98" s="90"/>
    </row>
  </sheetData>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561975</xdr:colOff>
                    <xdr:row>53</xdr:row>
                    <xdr:rowOff>0</xdr:rowOff>
                  </from>
                  <to>
                    <xdr:col>8</xdr:col>
                    <xdr:colOff>9525</xdr:colOff>
                    <xdr:row>55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Lists!$F$3:$F$5</xm:f>
          </x14:formula1>
          <xm:sqref>H12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8"/>
  <sheetViews>
    <sheetView zoomScaleNormal="100" workbookViewId="0">
      <pane ySplit="5" topLeftCell="A144" activePane="bottomLeft" state="frozen"/>
      <selection pane="bottomLeft" activeCell="B140" sqref="B140"/>
    </sheetView>
  </sheetViews>
  <sheetFormatPr baseColWidth="10" defaultColWidth="9.140625"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9" width="12.5703125" customWidth="1"/>
    <col min="12" max="12" width="12.42578125" bestFit="1" customWidth="1"/>
  </cols>
  <sheetData>
    <row r="1" spans="1:17" ht="27.75" x14ac:dyDescent="0.4">
      <c r="A1" s="213" t="s">
        <v>15</v>
      </c>
      <c r="B1" s="213"/>
      <c r="C1" s="213"/>
      <c r="D1" s="213"/>
      <c r="E1" s="213"/>
      <c r="F1" s="213"/>
      <c r="G1" s="213"/>
      <c r="H1" s="213"/>
      <c r="I1" s="213"/>
      <c r="J1" s="213"/>
    </row>
    <row r="2" spans="1:17" x14ac:dyDescent="0.25">
      <c r="A2" s="5"/>
      <c r="B2" s="5" t="s">
        <v>16</v>
      </c>
      <c r="C2" s="6"/>
      <c r="D2" s="4"/>
      <c r="E2" s="5"/>
      <c r="F2" s="5"/>
      <c r="G2" s="5"/>
      <c r="H2" s="5"/>
      <c r="I2" s="5"/>
      <c r="J2" s="5"/>
    </row>
    <row r="3" spans="1:17" x14ac:dyDescent="0.25">
      <c r="A3" s="5"/>
      <c r="B3" s="5" t="s">
        <v>17</v>
      </c>
      <c r="C3" s="7"/>
      <c r="D3" s="4"/>
      <c r="E3" s="5"/>
      <c r="F3" s="14" t="s">
        <v>60</v>
      </c>
      <c r="G3" s="15" t="s">
        <v>61</v>
      </c>
      <c r="H3" s="24" t="s">
        <v>533</v>
      </c>
      <c r="I3" s="5"/>
      <c r="J3" s="5"/>
    </row>
    <row r="4" spans="1:17" x14ac:dyDescent="0.25">
      <c r="A4" s="5"/>
      <c r="B4" s="5" t="s">
        <v>18</v>
      </c>
      <c r="C4" s="8"/>
      <c r="D4" s="4"/>
      <c r="E4" s="5"/>
      <c r="F4" s="5"/>
      <c r="G4" s="5"/>
      <c r="H4" s="5"/>
      <c r="I4" s="5"/>
      <c r="J4" s="5"/>
    </row>
    <row r="5" spans="1:17" x14ac:dyDescent="0.25">
      <c r="A5" s="9" t="s">
        <v>19</v>
      </c>
      <c r="B5" s="9" t="s">
        <v>20</v>
      </c>
      <c r="C5" s="9" t="s">
        <v>21</v>
      </c>
      <c r="D5" s="4"/>
      <c r="E5" s="214" t="s">
        <v>22</v>
      </c>
      <c r="F5" s="214"/>
      <c r="G5" s="214"/>
      <c r="H5" s="214"/>
      <c r="I5" s="5"/>
      <c r="J5" s="9" t="s">
        <v>23</v>
      </c>
      <c r="K5" s="9" t="s">
        <v>67</v>
      </c>
      <c r="L5" s="4"/>
      <c r="M5" s="4"/>
      <c r="N5" s="4"/>
      <c r="O5" s="4"/>
      <c r="P5" s="4"/>
      <c r="Q5" s="4"/>
    </row>
    <row r="6" spans="1:17" ht="15.75" x14ac:dyDescent="0.25">
      <c r="A6" s="10" t="s">
        <v>24</v>
      </c>
      <c r="B6" s="9"/>
      <c r="C6" s="9"/>
      <c r="D6" s="9"/>
      <c r="E6" s="5"/>
      <c r="F6" s="5"/>
      <c r="G6" s="5"/>
      <c r="H6" s="5"/>
      <c r="I6" s="5"/>
      <c r="J6" s="9"/>
      <c r="K6" s="4"/>
      <c r="L6" s="4"/>
      <c r="M6" s="4"/>
      <c r="N6" s="4"/>
      <c r="O6" s="4"/>
      <c r="P6" s="4"/>
      <c r="Q6" s="4"/>
    </row>
    <row r="7" spans="1:17" x14ac:dyDescent="0.25">
      <c r="A7" t="s">
        <v>25</v>
      </c>
      <c r="B7" s="3">
        <f>'Design Converter'!H7</f>
        <v>11</v>
      </c>
      <c r="C7" t="s">
        <v>10</v>
      </c>
      <c r="E7" t="s">
        <v>28</v>
      </c>
    </row>
    <row r="8" spans="1:17" x14ac:dyDescent="0.25">
      <c r="A8" t="s">
        <v>26</v>
      </c>
      <c r="B8" s="3">
        <f>'Design Converter'!H8</f>
        <v>11</v>
      </c>
      <c r="C8" t="s">
        <v>10</v>
      </c>
      <c r="E8" t="s">
        <v>29</v>
      </c>
      <c r="K8">
        <f>IF(VIN_min&lt;VIN_min,1,IF(VIN_nom&gt;VIN_max,1,0))</f>
        <v>0</v>
      </c>
    </row>
    <row r="9" spans="1:17" x14ac:dyDescent="0.25">
      <c r="A9" t="s">
        <v>27</v>
      </c>
      <c r="B9" s="3">
        <f>'Design Converter'!H9</f>
        <v>22</v>
      </c>
      <c r="C9" t="s">
        <v>10</v>
      </c>
      <c r="E9" t="s">
        <v>30</v>
      </c>
    </row>
    <row r="10" spans="1:17" x14ac:dyDescent="0.25">
      <c r="A10" t="s">
        <v>64</v>
      </c>
      <c r="B10" s="3">
        <f>'Design Converter'!H13*1000</f>
        <v>1000000</v>
      </c>
      <c r="C10" t="s">
        <v>65</v>
      </c>
      <c r="E10" t="s">
        <v>66</v>
      </c>
    </row>
    <row r="11" spans="1:17" x14ac:dyDescent="0.25">
      <c r="A11" t="s">
        <v>68</v>
      </c>
      <c r="B11" s="18">
        <f>((2.21*10^10)/Fsw)-955</f>
        <v>21145</v>
      </c>
      <c r="C11" s="2" t="s">
        <v>36</v>
      </c>
      <c r="E11" t="s">
        <v>69</v>
      </c>
    </row>
    <row r="12" spans="1:17" x14ac:dyDescent="0.25">
      <c r="A12" t="s">
        <v>31</v>
      </c>
      <c r="B12" s="3">
        <f>'Design Converter'!H10</f>
        <v>53.5</v>
      </c>
      <c r="C12" t="s">
        <v>10</v>
      </c>
      <c r="E12" t="s">
        <v>32</v>
      </c>
    </row>
    <row r="13" spans="1:17" x14ac:dyDescent="0.25">
      <c r="A13" t="s">
        <v>33</v>
      </c>
      <c r="B13" s="3">
        <f>'Design Converter'!H11</f>
        <v>6</v>
      </c>
      <c r="C13" t="s">
        <v>11</v>
      </c>
      <c r="E13" t="s">
        <v>34</v>
      </c>
    </row>
    <row r="14" spans="1:17" x14ac:dyDescent="0.25">
      <c r="A14" t="s">
        <v>35</v>
      </c>
      <c r="B14" s="17">
        <f>VOUT/IOUT</f>
        <v>8.9166666666666661</v>
      </c>
      <c r="C14" s="2" t="s">
        <v>36</v>
      </c>
      <c r="E14" t="s">
        <v>41</v>
      </c>
    </row>
    <row r="15" spans="1:17" x14ac:dyDescent="0.25">
      <c r="A15" t="s">
        <v>37</v>
      </c>
      <c r="B15" s="1">
        <f>VOUT*IOUT</f>
        <v>321</v>
      </c>
      <c r="C15" s="2" t="s">
        <v>38</v>
      </c>
      <c r="E15" t="s">
        <v>40</v>
      </c>
    </row>
    <row r="16" spans="1:17" x14ac:dyDescent="0.25">
      <c r="A16" t="s">
        <v>39</v>
      </c>
      <c r="B16" s="11">
        <v>1</v>
      </c>
      <c r="E16" t="s">
        <v>525</v>
      </c>
    </row>
    <row r="17" spans="1:11" x14ac:dyDescent="0.25">
      <c r="A17" t="s">
        <v>531</v>
      </c>
      <c r="B17" s="12">
        <v>1</v>
      </c>
      <c r="E17" t="s">
        <v>532</v>
      </c>
    </row>
    <row r="19" spans="1:11" x14ac:dyDescent="0.25">
      <c r="A19" t="s">
        <v>518</v>
      </c>
      <c r="B19">
        <f>IF(VOUT&lt;=15,1,2)</f>
        <v>2</v>
      </c>
      <c r="E19" t="s">
        <v>520</v>
      </c>
    </row>
    <row r="20" spans="1:11" x14ac:dyDescent="0.25">
      <c r="A20" t="s">
        <v>522</v>
      </c>
      <c r="B20">
        <f>IF('Design Converter'!H12="FPWM",3,IF('Design Converter'!H12="DEM",2,1))</f>
        <v>3</v>
      </c>
      <c r="E20" t="s">
        <v>523</v>
      </c>
    </row>
    <row r="22" spans="1:11" x14ac:dyDescent="0.25">
      <c r="A22" t="s">
        <v>42</v>
      </c>
      <c r="B22" s="1">
        <f>1-VIN_min*EFF_est/VOUT</f>
        <v>0.79439252336448596</v>
      </c>
      <c r="E22" t="s">
        <v>420</v>
      </c>
    </row>
    <row r="23" spans="1:11" x14ac:dyDescent="0.25">
      <c r="A23" t="s">
        <v>43</v>
      </c>
      <c r="B23" s="12">
        <f>Constants!B20-0.02</f>
        <v>0.88</v>
      </c>
      <c r="E23" t="s">
        <v>528</v>
      </c>
    </row>
    <row r="24" spans="1:11" x14ac:dyDescent="0.25">
      <c r="B24" s="160"/>
    </row>
    <row r="25" spans="1:11" x14ac:dyDescent="0.25">
      <c r="A25" t="s">
        <v>424</v>
      </c>
      <c r="B25" s="150">
        <f>IF(B22&gt;Dc_max_IC,1,2)</f>
        <v>2</v>
      </c>
      <c r="E25" t="s">
        <v>526</v>
      </c>
      <c r="K25">
        <f>IF(B25=1,1,0)</f>
        <v>0</v>
      </c>
    </row>
    <row r="26" spans="1:11" x14ac:dyDescent="0.25">
      <c r="E26" t="s">
        <v>527</v>
      </c>
    </row>
    <row r="28" spans="1:11" x14ac:dyDescent="0.25">
      <c r="A28" s="19" t="s">
        <v>72</v>
      </c>
      <c r="E28" t="b">
        <f>AND((1-(VIN_max/VOUT))&lt;Dc_rip_max,(1-(VIN_min/VOUT))&lt;Dc_rip_max)</f>
        <v>0</v>
      </c>
    </row>
    <row r="29" spans="1:11" x14ac:dyDescent="0.25">
      <c r="A29" s="151" t="s">
        <v>426</v>
      </c>
    </row>
    <row r="30" spans="1:11" x14ac:dyDescent="0.25">
      <c r="A30" t="s">
        <v>88</v>
      </c>
      <c r="B30" s="3">
        <f>'Design Converter'!H21/100</f>
        <v>0.6</v>
      </c>
      <c r="E30" t="s">
        <v>107</v>
      </c>
    </row>
    <row r="31" spans="1:11" x14ac:dyDescent="0.25">
      <c r="A31" t="s">
        <v>118</v>
      </c>
      <c r="B31" s="12">
        <v>0.33</v>
      </c>
      <c r="C31" t="s">
        <v>13</v>
      </c>
      <c r="E31" t="s">
        <v>117</v>
      </c>
    </row>
    <row r="32" spans="1:11" x14ac:dyDescent="0.25">
      <c r="A32" t="s">
        <v>425</v>
      </c>
      <c r="B32" s="16">
        <f>IF(AND((1-(VIN_max/VOUT))&lt;Dc_rip_max,(1-(VIN_min/VOUT))&gt;=Dc_rip_max),Dc_rip_max,IF((1-(VIN_max/VOUT))&gt;Dc_rip_max,(1-(VIN_max/VOUT)),IF((1-(VIN_min/VOUT))&lt;Dc_rip_max,(1-(VIN_min/VOUT)),0.33)))</f>
        <v>0.58878504672897192</v>
      </c>
    </row>
    <row r="33" spans="1:5" x14ac:dyDescent="0.25">
      <c r="A33" t="s">
        <v>94</v>
      </c>
      <c r="B33" s="1">
        <f>VOUT*(1-DC_rip)</f>
        <v>22.000000000000004</v>
      </c>
      <c r="C33" t="s">
        <v>10</v>
      </c>
      <c r="E33" t="s">
        <v>120</v>
      </c>
    </row>
    <row r="35" spans="1:5" x14ac:dyDescent="0.25">
      <c r="A35" t="s">
        <v>95</v>
      </c>
      <c r="B35" s="16">
        <f>(VOUT*IOUT)/(VIN_33)</f>
        <v>14.590909090909088</v>
      </c>
      <c r="C35" t="s">
        <v>11</v>
      </c>
      <c r="E35" t="s">
        <v>119</v>
      </c>
    </row>
    <row r="36" spans="1:5" x14ac:dyDescent="0.25">
      <c r="A36" t="s">
        <v>96</v>
      </c>
      <c r="B36" s="23">
        <f>(VIN_33*DC_rip)/(IIN_33*ILrip*Fsw)</f>
        <v>1.4796052056948213E-6</v>
      </c>
      <c r="C36" t="s">
        <v>87</v>
      </c>
      <c r="E36" t="s">
        <v>440</v>
      </c>
    </row>
    <row r="38" spans="1:5" x14ac:dyDescent="0.25">
      <c r="A38" s="151" t="s">
        <v>529</v>
      </c>
    </row>
    <row r="39" spans="1:5" x14ac:dyDescent="0.25">
      <c r="A39" t="s">
        <v>429</v>
      </c>
      <c r="B39" s="3">
        <f>'Design Converter'!H21/100</f>
        <v>0.6</v>
      </c>
      <c r="E39" t="s">
        <v>430</v>
      </c>
    </row>
    <row r="40" spans="1:5" x14ac:dyDescent="0.25">
      <c r="A40" t="s">
        <v>428</v>
      </c>
      <c r="B40" s="23">
        <f>((DC_DCM_max^2)*(VIN_min^2))/(2*IOUT*VOUT*Fsw-2*IOUT*VIN_min*Fsw)</f>
        <v>8.5411764705882346E-8</v>
      </c>
      <c r="C40" t="s">
        <v>87</v>
      </c>
      <c r="E40" t="s">
        <v>427</v>
      </c>
    </row>
    <row r="41" spans="1:5" x14ac:dyDescent="0.25">
      <c r="A41" t="s">
        <v>431</v>
      </c>
      <c r="B41" s="12">
        <v>0.2</v>
      </c>
      <c r="E41" t="s">
        <v>432</v>
      </c>
    </row>
    <row r="42" spans="1:5" x14ac:dyDescent="0.25">
      <c r="A42" t="s">
        <v>433</v>
      </c>
      <c r="B42" s="23">
        <f>(1-M_L_DCM)*((VIN_min^2)*(1-(VIN_min/VOUT)))/(2*IOUT*VOUT*Fsw)</f>
        <v>1.1977756427053309E-7</v>
      </c>
      <c r="C42" t="s">
        <v>87</v>
      </c>
      <c r="E42" t="s">
        <v>434</v>
      </c>
    </row>
    <row r="43" spans="1:5" x14ac:dyDescent="0.25">
      <c r="A43" t="s">
        <v>435</v>
      </c>
      <c r="B43" s="23">
        <f>MIN(B40,B42)</f>
        <v>8.5411764705882346E-8</v>
      </c>
      <c r="C43" t="s">
        <v>87</v>
      </c>
      <c r="E43" t="s">
        <v>436</v>
      </c>
    </row>
    <row r="44" spans="1:5" x14ac:dyDescent="0.25">
      <c r="B44" s="154"/>
    </row>
    <row r="45" spans="1:5" x14ac:dyDescent="0.25">
      <c r="A45" t="s">
        <v>439</v>
      </c>
      <c r="B45" s="23">
        <f>IF(B25=1,B43,Lopt_2)</f>
        <v>1.4796052056948213E-6</v>
      </c>
      <c r="E45" t="s">
        <v>437</v>
      </c>
    </row>
    <row r="47" spans="1:5" x14ac:dyDescent="0.25">
      <c r="A47" t="s">
        <v>89</v>
      </c>
      <c r="B47" s="21">
        <f>CHOOSE(B25,'Design Converter'!H23*10^-9,'Design Converter'!H23*10^-6)</f>
        <v>1.5E-6</v>
      </c>
      <c r="C47" t="s">
        <v>87</v>
      </c>
      <c r="E47" t="s">
        <v>90</v>
      </c>
    </row>
    <row r="48" spans="1:5" x14ac:dyDescent="0.25">
      <c r="A48" t="s">
        <v>91</v>
      </c>
      <c r="B48" s="3">
        <f>'Design Converter'!H24*10^-3</f>
        <v>2.3E-3</v>
      </c>
      <c r="C48" s="2" t="s">
        <v>36</v>
      </c>
      <c r="E48" t="s">
        <v>121</v>
      </c>
    </row>
    <row r="49" spans="1:9" x14ac:dyDescent="0.25">
      <c r="A49" t="s">
        <v>122</v>
      </c>
      <c r="B49" s="12">
        <v>0.2</v>
      </c>
      <c r="C49" s="2"/>
      <c r="E49" t="s">
        <v>123</v>
      </c>
    </row>
    <row r="50" spans="1:9" x14ac:dyDescent="0.25">
      <c r="B50" t="s">
        <v>97</v>
      </c>
    </row>
    <row r="51" spans="1:9" x14ac:dyDescent="0.25">
      <c r="A51" s="31" t="s">
        <v>441</v>
      </c>
    </row>
    <row r="53" spans="1:9" x14ac:dyDescent="0.25">
      <c r="A53" s="22" t="s">
        <v>442</v>
      </c>
    </row>
    <row r="54" spans="1:9" x14ac:dyDescent="0.25">
      <c r="A54" t="s">
        <v>443</v>
      </c>
      <c r="B54">
        <f>IF(B20=3,1,IF((VOUT*IOUT)/(VIN_min*Np)&lt;((VIN_min*(1-(VIN_min/VOUT)))/(2*Lm*Fsw)),0,1))</f>
        <v>1</v>
      </c>
      <c r="E54" t="s">
        <v>534</v>
      </c>
      <c r="I54" s="31"/>
    </row>
    <row r="55" spans="1:9" x14ac:dyDescent="0.25">
      <c r="A55" t="s">
        <v>77</v>
      </c>
      <c r="B55" s="1">
        <f>IF(B54=0,SQRT((2*(IOUT/Np)*Lm*Fsw*(VOUT-VIN_min)/(VIN_min^2))),(1-VIN_min/VOUT))</f>
        <v>0.79439252336448596</v>
      </c>
      <c r="E55" t="s">
        <v>421</v>
      </c>
    </row>
    <row r="56" spans="1:9" x14ac:dyDescent="0.25">
      <c r="B56" s="13">
        <f>B55/Fsw</f>
        <v>7.9439252336448596E-7</v>
      </c>
      <c r="C56" t="s">
        <v>51</v>
      </c>
      <c r="E56" t="s">
        <v>276</v>
      </c>
    </row>
    <row r="57" spans="1:9" x14ac:dyDescent="0.25">
      <c r="A57" t="s">
        <v>82</v>
      </c>
      <c r="B57" s="17">
        <f>(VOUT*IOUT)/(VIN_min)</f>
        <v>29.181818181818183</v>
      </c>
      <c r="C57" t="s">
        <v>11</v>
      </c>
      <c r="E57" t="s">
        <v>84</v>
      </c>
    </row>
    <row r="58" spans="1:9" x14ac:dyDescent="0.25">
      <c r="A58" t="s">
        <v>100</v>
      </c>
      <c r="B58" s="16">
        <f>(VIN_min*Dc_VIN_min)/(Lm*Fsw)</f>
        <v>5.8255451713395638</v>
      </c>
      <c r="C58" t="s">
        <v>11</v>
      </c>
      <c r="E58" t="s">
        <v>101</v>
      </c>
    </row>
    <row r="59" spans="1:9" x14ac:dyDescent="0.25">
      <c r="A59" t="s">
        <v>98</v>
      </c>
      <c r="B59" s="16">
        <f>IF(B54=0,(VIN_min*Dc_VIN_min)/(Lm*Fsw),(IL_avg_VIN_min/EFF_est)+(ILrip_VINmin/2))</f>
        <v>32.094590767487965</v>
      </c>
      <c r="C59" t="s">
        <v>11</v>
      </c>
      <c r="E59" t="s">
        <v>99</v>
      </c>
    </row>
    <row r="61" spans="1:9" x14ac:dyDescent="0.25">
      <c r="A61" s="22" t="s">
        <v>29</v>
      </c>
    </row>
    <row r="62" spans="1:9" x14ac:dyDescent="0.25">
      <c r="A62" t="s">
        <v>444</v>
      </c>
      <c r="B62">
        <f>IF(B20=3,1,IF((VOUT*IOUT)/(VIN_nom*Np)&lt;((VIN_nom*(1-(VIN_nom/VOUT)))/(2*Lm*Fsw)),0,1))</f>
        <v>1</v>
      </c>
      <c r="E62" t="s">
        <v>530</v>
      </c>
    </row>
    <row r="63" spans="1:9" x14ac:dyDescent="0.25">
      <c r="A63" t="s">
        <v>78</v>
      </c>
      <c r="B63" s="1">
        <f>IF(B62=0,SQRT((2*(IOUT/Np)*Lm*Fsw*(VOUT-VIN_nom)/(VIN_nom^2))),(1-VIN_nom/VOUT))</f>
        <v>0.79439252336448596</v>
      </c>
      <c r="E63" t="s">
        <v>422</v>
      </c>
    </row>
    <row r="64" spans="1:9" x14ac:dyDescent="0.25">
      <c r="B64" s="13">
        <f>B63/Fsw</f>
        <v>7.9439252336448596E-7</v>
      </c>
      <c r="C64" t="s">
        <v>51</v>
      </c>
      <c r="E64" t="s">
        <v>276</v>
      </c>
    </row>
    <row r="65" spans="1:5" x14ac:dyDescent="0.25">
      <c r="A65" t="s">
        <v>83</v>
      </c>
      <c r="B65" s="17">
        <f>(VOUT*IOUT)/(VIN_nom)</f>
        <v>29.181818181818183</v>
      </c>
      <c r="C65" t="s">
        <v>11</v>
      </c>
      <c r="E65" t="s">
        <v>85</v>
      </c>
    </row>
    <row r="66" spans="1:5" x14ac:dyDescent="0.25">
      <c r="A66" t="s">
        <v>102</v>
      </c>
      <c r="B66" s="16">
        <f>(VIN_nom*Dc_VIN_nom)/(Lm*Fsw)</f>
        <v>5.8255451713395638</v>
      </c>
      <c r="C66" t="s">
        <v>11</v>
      </c>
      <c r="E66" t="s">
        <v>108</v>
      </c>
    </row>
    <row r="67" spans="1:5" x14ac:dyDescent="0.25">
      <c r="A67" t="s">
        <v>103</v>
      </c>
      <c r="B67" s="16">
        <f>IF(B62=0,(VIN_nom*Dc_VIN_nom)/(Lm*Fsw),(IL_avg_VIN_nom/EFF_est)+(ILrip_VINnom/2))</f>
        <v>32.094590767487965</v>
      </c>
      <c r="C67" t="s">
        <v>11</v>
      </c>
      <c r="E67" t="s">
        <v>109</v>
      </c>
    </row>
    <row r="69" spans="1:5" x14ac:dyDescent="0.25">
      <c r="A69" s="22" t="s">
        <v>30</v>
      </c>
    </row>
    <row r="70" spans="1:5" x14ac:dyDescent="0.25">
      <c r="A70" t="s">
        <v>445</v>
      </c>
      <c r="B70">
        <f>IF(B20=3,1,IF((VOUT*IOUT)/(VIN_max*Np)&lt;((VIN_max*(1-(VIN_max/VOUT)))/(2*Lm*Fsw)),0,1))</f>
        <v>1</v>
      </c>
      <c r="E70" t="s">
        <v>530</v>
      </c>
    </row>
    <row r="71" spans="1:5" x14ac:dyDescent="0.25">
      <c r="A71" t="s">
        <v>79</v>
      </c>
      <c r="B71" s="1">
        <f>IF(B70=0,SQRT((2*(IOUT/Np)*Lm*Fsw*(VOUT-VIN_max)/(VIN_max^2))),(1-VIN_max/VOUT))</f>
        <v>0.58878504672897192</v>
      </c>
      <c r="E71" t="s">
        <v>423</v>
      </c>
    </row>
    <row r="72" spans="1:5" x14ac:dyDescent="0.25">
      <c r="B72" s="13">
        <f>B71/Fsw</f>
        <v>5.8878504672897196E-7</v>
      </c>
      <c r="C72" t="s">
        <v>51</v>
      </c>
      <c r="E72" t="s">
        <v>276</v>
      </c>
    </row>
    <row r="73" spans="1:5" x14ac:dyDescent="0.25">
      <c r="A73" t="s">
        <v>446</v>
      </c>
      <c r="B73" s="17">
        <f>(VOUT*IOUT)/(VIN_max)</f>
        <v>14.590909090909092</v>
      </c>
      <c r="C73" t="s">
        <v>11</v>
      </c>
      <c r="E73" t="s">
        <v>86</v>
      </c>
    </row>
    <row r="74" spans="1:5" x14ac:dyDescent="0.25">
      <c r="A74" t="s">
        <v>104</v>
      </c>
      <c r="B74" s="16">
        <f>(VIN_max*Dc_VIN_max)/(Lm*Fsw)</f>
        <v>8.6355140186915875</v>
      </c>
      <c r="C74" t="s">
        <v>11</v>
      </c>
      <c r="E74" t="s">
        <v>110</v>
      </c>
    </row>
    <row r="75" spans="1:5" x14ac:dyDescent="0.25">
      <c r="A75" t="s">
        <v>105</v>
      </c>
      <c r="B75" s="16">
        <f>IF(B70=0,(VIN_max*Dc_VIN_max)/(Lm*Fsw),(IL_avg_VIN_max/EFF_est)+(ILrip_VINmax/2))</f>
        <v>18.908666100254884</v>
      </c>
      <c r="C75" t="s">
        <v>11</v>
      </c>
      <c r="E75" t="s">
        <v>111</v>
      </c>
    </row>
    <row r="77" spans="1:5" x14ac:dyDescent="0.25">
      <c r="A77" s="19" t="s">
        <v>106</v>
      </c>
    </row>
    <row r="78" spans="1:5" x14ac:dyDescent="0.25">
      <c r="A78" t="s">
        <v>113</v>
      </c>
      <c r="B78" s="3">
        <f>'Design Converter'!H28/100</f>
        <v>0.3</v>
      </c>
      <c r="E78" t="s">
        <v>114</v>
      </c>
    </row>
    <row r="79" spans="1:5" x14ac:dyDescent="0.25">
      <c r="A79" t="s">
        <v>601</v>
      </c>
      <c r="B79" s="12">
        <v>0.95</v>
      </c>
      <c r="E79" t="s">
        <v>602</v>
      </c>
    </row>
    <row r="80" spans="1:5" x14ac:dyDescent="0.25">
      <c r="A80" t="s">
        <v>115</v>
      </c>
      <c r="B80" s="17">
        <f>IF(B54=0,(1+Ipk_margin)*ILp_VINmin,((IL_avg_VIN_min/B79)+(ILrip_VINmin/2))*(1+Ipk_margin))</f>
        <v>43.719618715437704</v>
      </c>
      <c r="C80" t="s">
        <v>11</v>
      </c>
      <c r="E80" t="s">
        <v>116</v>
      </c>
    </row>
    <row r="81" spans="1:11" x14ac:dyDescent="0.25">
      <c r="B81" s="34"/>
    </row>
    <row r="82" spans="1:11" x14ac:dyDescent="0.25">
      <c r="A82" t="s">
        <v>126</v>
      </c>
      <c r="B82" s="12">
        <v>0.66600000000000004</v>
      </c>
      <c r="E82" t="s">
        <v>535</v>
      </c>
    </row>
    <row r="83" spans="1:11" x14ac:dyDescent="0.25">
      <c r="A83" t="s">
        <v>124</v>
      </c>
      <c r="B83" s="23">
        <f>IF(OR(Dc_VIN_min&lt;0.5,B54=0),1000,(Lm*Vsl*Fsw)/(B82*(VOUT-VIN_min)))</f>
        <v>2.3847376788553257E-3</v>
      </c>
      <c r="C83" s="2" t="s">
        <v>36</v>
      </c>
      <c r="E83" t="s">
        <v>125</v>
      </c>
    </row>
    <row r="84" spans="1:11" x14ac:dyDescent="0.25">
      <c r="A84" t="s">
        <v>131</v>
      </c>
      <c r="B84" s="23">
        <f>Vcl/Ipk_selected</f>
        <v>1.3723815935021771E-3</v>
      </c>
      <c r="C84" s="2" t="s">
        <v>36</v>
      </c>
      <c r="E84" t="s">
        <v>492</v>
      </c>
    </row>
    <row r="86" spans="1:11" x14ac:dyDescent="0.25">
      <c r="A86" t="s">
        <v>134</v>
      </c>
      <c r="B86" s="1">
        <f>IF(Rcs_wo_sl&gt;Rcs_max,1,0)</f>
        <v>0</v>
      </c>
      <c r="E86" t="s">
        <v>448</v>
      </c>
    </row>
    <row r="87" spans="1:11" x14ac:dyDescent="0.25">
      <c r="A87" t="s">
        <v>135</v>
      </c>
      <c r="B87" s="25">
        <f>IF(B54=0,Rcs_wo_sl,IF(B86=0,Rcs_wo_sl,Rcs_w_sl))</f>
        <v>1.3723815935021771E-3</v>
      </c>
      <c r="C87" s="2" t="s">
        <v>36</v>
      </c>
      <c r="E87" t="s">
        <v>447</v>
      </c>
    </row>
    <row r="88" spans="1:11" x14ac:dyDescent="0.25">
      <c r="A88" t="s">
        <v>136</v>
      </c>
      <c r="B88" s="1">
        <v>0</v>
      </c>
      <c r="C88" s="2" t="s">
        <v>36</v>
      </c>
      <c r="E88" t="s">
        <v>536</v>
      </c>
    </row>
    <row r="90" spans="1:11" x14ac:dyDescent="0.25">
      <c r="A90" t="s">
        <v>137</v>
      </c>
      <c r="B90" s="26">
        <f>'Design Converter'!H31/1000</f>
        <v>1.5E-3</v>
      </c>
      <c r="C90" s="2" t="s">
        <v>36</v>
      </c>
      <c r="E90" t="s">
        <v>139</v>
      </c>
    </row>
    <row r="91" spans="1:11" x14ac:dyDescent="0.25">
      <c r="A91" t="s">
        <v>138</v>
      </c>
      <c r="B91" s="3">
        <v>0</v>
      </c>
      <c r="C91" s="2" t="s">
        <v>36</v>
      </c>
      <c r="E91" t="s">
        <v>537</v>
      </c>
    </row>
    <row r="93" spans="1:11" x14ac:dyDescent="0.25">
      <c r="A93" t="s">
        <v>142</v>
      </c>
      <c r="B93">
        <f>(Vsl*Fsw)/(((VOUT-VIN_min)/Lm)*R_cs)</f>
        <v>1.0588235294117647</v>
      </c>
      <c r="C93" t="s">
        <v>150</v>
      </c>
      <c r="E93" t="s">
        <v>140</v>
      </c>
      <c r="K93">
        <f>IF(B62=0,0,IF(B93&lt;0.5,1,0))</f>
        <v>0</v>
      </c>
    </row>
    <row r="94" spans="1:11" x14ac:dyDescent="0.25">
      <c r="A94" t="s">
        <v>144</v>
      </c>
      <c r="B94" s="17">
        <f>(Vcl-(Isl*R_sl*Dc_VIN_min))/R_cs</f>
        <v>40</v>
      </c>
      <c r="C94" t="s">
        <v>11</v>
      </c>
      <c r="E94" t="s">
        <v>146</v>
      </c>
      <c r="K94">
        <f>IF(IL_pk&lt;Ipk_selected,1,0)</f>
        <v>1</v>
      </c>
    </row>
    <row r="95" spans="1:11" x14ac:dyDescent="0.25">
      <c r="A95" t="s">
        <v>145</v>
      </c>
      <c r="B95" s="17">
        <f>(Vcl-(Isl*R_sl*Dc_VIN_max))/R_cs</f>
        <v>40</v>
      </c>
      <c r="C95" t="s">
        <v>11</v>
      </c>
      <c r="E95" t="s">
        <v>147</v>
      </c>
    </row>
    <row r="96" spans="1:11" x14ac:dyDescent="0.25">
      <c r="A96" t="s">
        <v>148</v>
      </c>
      <c r="B96" s="12">
        <f>0.15</f>
        <v>0.15</v>
      </c>
      <c r="E96" t="s">
        <v>149</v>
      </c>
    </row>
    <row r="97" spans="1:5" x14ac:dyDescent="0.25">
      <c r="A97" t="s">
        <v>151</v>
      </c>
      <c r="B97" s="20">
        <f>(1+B96)*B95</f>
        <v>46</v>
      </c>
      <c r="C97" t="s">
        <v>11</v>
      </c>
      <c r="E97" t="s">
        <v>152</v>
      </c>
    </row>
    <row r="99" spans="1:5" x14ac:dyDescent="0.25">
      <c r="A99" s="22" t="s">
        <v>153</v>
      </c>
      <c r="E99" t="s">
        <v>538</v>
      </c>
    </row>
    <row r="102" spans="1:5" x14ac:dyDescent="0.25">
      <c r="A102" s="28" t="s">
        <v>154</v>
      </c>
      <c r="E102" t="s">
        <v>549</v>
      </c>
    </row>
    <row r="104" spans="1:5" x14ac:dyDescent="0.25">
      <c r="A104" t="s">
        <v>449</v>
      </c>
      <c r="B104" s="1">
        <f>IF(B54=0,2*Fsw/(Dc_VIN_min*5),(VOUT/IOUT)*((VIN_min^2)/VOUT^2)/(Lm*5))</f>
        <v>50259.605399792315</v>
      </c>
      <c r="C104" t="s">
        <v>489</v>
      </c>
      <c r="E104" t="s">
        <v>540</v>
      </c>
    </row>
    <row r="105" spans="1:5" x14ac:dyDescent="0.25">
      <c r="B105">
        <f>B104/(2*PI())</f>
        <v>7999.0646372250621</v>
      </c>
      <c r="C105" t="s">
        <v>65</v>
      </c>
    </row>
    <row r="106" spans="1:5" x14ac:dyDescent="0.25">
      <c r="A106" t="s">
        <v>160</v>
      </c>
      <c r="B106" s="29">
        <f>'Design Converter'!H35/1000</f>
        <v>0.05</v>
      </c>
      <c r="C106" t="s">
        <v>10</v>
      </c>
      <c r="E106" t="s">
        <v>159</v>
      </c>
    </row>
    <row r="107" spans="1:5" x14ac:dyDescent="0.25">
      <c r="A107" t="s">
        <v>450</v>
      </c>
      <c r="B107" s="1">
        <f>IOUT-0.5*IOUT</f>
        <v>3</v>
      </c>
      <c r="C107" t="s">
        <v>11</v>
      </c>
    </row>
    <row r="108" spans="1:5" x14ac:dyDescent="0.25">
      <c r="A108" t="s">
        <v>161</v>
      </c>
      <c r="B108" s="1">
        <f>B107/(Vout_rip_sel*B104)</f>
        <v>1.193801652892562E-3</v>
      </c>
      <c r="C108" t="s">
        <v>162</v>
      </c>
      <c r="E108" t="s">
        <v>163</v>
      </c>
    </row>
    <row r="109" spans="1:5" x14ac:dyDescent="0.25">
      <c r="A109" t="s">
        <v>164</v>
      </c>
      <c r="B109" s="165">
        <f>SQRT((1-Dc_VIN_min)*((IOUT^2)*(Dc_VIN_min/((1-Dc_VIN_min)^2))+((ILrip_VINmin^2)/3)))</f>
        <v>11.891879910039979</v>
      </c>
      <c r="C109" t="s">
        <v>11</v>
      </c>
      <c r="E109" s="31" t="s">
        <v>541</v>
      </c>
    </row>
    <row r="110" spans="1:5" x14ac:dyDescent="0.25">
      <c r="A110" t="s">
        <v>169</v>
      </c>
      <c r="B110" s="3">
        <f>'Design Converter'!H37*(10^-6)</f>
        <v>1E-3</v>
      </c>
      <c r="C110" t="s">
        <v>162</v>
      </c>
      <c r="E110" t="s">
        <v>167</v>
      </c>
    </row>
    <row r="111" spans="1:5" x14ac:dyDescent="0.25">
      <c r="A111" t="s">
        <v>166</v>
      </c>
      <c r="B111" s="3">
        <f>'Design Converter'!H38/1000</f>
        <v>0.05</v>
      </c>
      <c r="C111" s="2" t="s">
        <v>36</v>
      </c>
      <c r="E111" t="s">
        <v>168</v>
      </c>
    </row>
    <row r="112" spans="1:5" x14ac:dyDescent="0.25">
      <c r="A112" t="s">
        <v>274</v>
      </c>
      <c r="B112" s="166">
        <f>SQRT((IOUT^2)+(IL_avg_VIN_min^2)-(2*IOUT*IL_avg_VIN_min)-(2*Dc_VIN_min*(IOUT^2))-(Dc_VIN_min*(IL_avg_VIN_min^2))+(2*Dc_VIN_min*IOUT*IL_avg_VIN_min))</f>
        <v>9.0495661447754525</v>
      </c>
      <c r="E112" s="164" t="s">
        <v>275</v>
      </c>
    </row>
    <row r="113" spans="1:7" x14ac:dyDescent="0.25">
      <c r="E113" s="72"/>
    </row>
    <row r="115" spans="1:7" x14ac:dyDescent="0.25">
      <c r="A115" s="28" t="s">
        <v>292</v>
      </c>
    </row>
    <row r="116" spans="1:7" x14ac:dyDescent="0.25">
      <c r="A116" t="s">
        <v>278</v>
      </c>
      <c r="B116" s="12">
        <f>Iss</f>
        <v>1.9999999999999998E-5</v>
      </c>
      <c r="C116" t="s">
        <v>11</v>
      </c>
      <c r="E116" t="s">
        <v>280</v>
      </c>
    </row>
    <row r="117" spans="1:7" x14ac:dyDescent="0.25">
      <c r="A117" t="s">
        <v>281</v>
      </c>
      <c r="B117" s="1">
        <f>Iss*VOUT*Cout/(Vref*IOUT)</f>
        <v>1.7833333333333333E-7</v>
      </c>
      <c r="C117" t="s">
        <v>162</v>
      </c>
      <c r="E117" t="s">
        <v>282</v>
      </c>
    </row>
    <row r="118" spans="1:7" x14ac:dyDescent="0.25">
      <c r="A118" t="s">
        <v>283</v>
      </c>
      <c r="B118" s="3">
        <f>'Design Converter'!H42*(10^-3)</f>
        <v>0.01</v>
      </c>
      <c r="C118" t="s">
        <v>51</v>
      </c>
      <c r="E118" t="s">
        <v>284</v>
      </c>
    </row>
    <row r="119" spans="1:7" x14ac:dyDescent="0.25">
      <c r="A119" t="s">
        <v>287</v>
      </c>
      <c r="B119" s="1">
        <f>(tss*Iss)/(Vref*(1-(VIN_min/VOUT)))</f>
        <v>2.5176470588235294E-7</v>
      </c>
      <c r="C119" t="s">
        <v>162</v>
      </c>
      <c r="E119" t="s">
        <v>288</v>
      </c>
    </row>
    <row r="121" spans="1:7" x14ac:dyDescent="0.25">
      <c r="A121" s="28" t="s">
        <v>291</v>
      </c>
    </row>
    <row r="122" spans="1:7" x14ac:dyDescent="0.25">
      <c r="A122" t="s">
        <v>293</v>
      </c>
      <c r="B122" s="3">
        <f>'Design Converter'!H46</f>
        <v>10</v>
      </c>
      <c r="C122" t="s">
        <v>10</v>
      </c>
      <c r="E122" t="s">
        <v>295</v>
      </c>
      <c r="G122" s="31"/>
    </row>
    <row r="123" spans="1:7" x14ac:dyDescent="0.25">
      <c r="A123" t="s">
        <v>294</v>
      </c>
      <c r="B123" s="3">
        <f>'Design Converter'!H47</f>
        <v>9</v>
      </c>
      <c r="C123" t="s">
        <v>10</v>
      </c>
      <c r="E123" t="s">
        <v>296</v>
      </c>
    </row>
    <row r="124" spans="1:7" x14ac:dyDescent="0.25">
      <c r="A124" t="s">
        <v>298</v>
      </c>
      <c r="B124" s="12">
        <f>UV_rise</f>
        <v>1.1000000000000001</v>
      </c>
      <c r="C124" t="s">
        <v>10</v>
      </c>
      <c r="E124" t="s">
        <v>303</v>
      </c>
    </row>
    <row r="125" spans="1:7" x14ac:dyDescent="0.25">
      <c r="A125" t="s">
        <v>299</v>
      </c>
      <c r="B125" s="12">
        <f>UV_fall</f>
        <v>1.075</v>
      </c>
      <c r="C125" t="s">
        <v>10</v>
      </c>
      <c r="E125" t="s">
        <v>302</v>
      </c>
    </row>
    <row r="126" spans="1:7" x14ac:dyDescent="0.25">
      <c r="A126" t="s">
        <v>304</v>
      </c>
      <c r="B126" s="12">
        <f>UV_I_hyst</f>
        <v>9.9999999999999991E-6</v>
      </c>
      <c r="C126" t="s">
        <v>11</v>
      </c>
      <c r="E126" t="s">
        <v>306</v>
      </c>
      <c r="G126" s="168">
        <f>(Vuvlo_on*0.977)-Vuvlo_off</f>
        <v>0.76999999999999957</v>
      </c>
    </row>
    <row r="127" spans="1:7" x14ac:dyDescent="0.25">
      <c r="A127" t="s">
        <v>307</v>
      </c>
      <c r="B127" s="16">
        <f>((Vuvlo_on*(UV_fall/UV_rise))-Vuvlo_off)/UV_I_hyst</f>
        <v>77272.727272727163</v>
      </c>
      <c r="C127" s="2" t="s">
        <v>36</v>
      </c>
      <c r="E127" t="s">
        <v>394</v>
      </c>
      <c r="G127" s="20">
        <f>B125/B124</f>
        <v>0.97727272727272718</v>
      </c>
    </row>
    <row r="128" spans="1:7" x14ac:dyDescent="0.25">
      <c r="A128" t="s">
        <v>307</v>
      </c>
      <c r="B128" s="3">
        <f>'Design Converter'!H49*1000</f>
        <v>77000</v>
      </c>
      <c r="C128" s="2" t="s">
        <v>36</v>
      </c>
      <c r="E128" t="s">
        <v>395</v>
      </c>
    </row>
    <row r="129" spans="1:7" x14ac:dyDescent="0.25">
      <c r="A129" t="s">
        <v>308</v>
      </c>
      <c r="B129" s="18">
        <f>UV_rise*Ruvlo_top/(Vuvlo_on-UV_rise)</f>
        <v>9516.8539325842685</v>
      </c>
      <c r="C129" s="2" t="s">
        <v>36</v>
      </c>
      <c r="E129" t="s">
        <v>396</v>
      </c>
    </row>
    <row r="130" spans="1:7" x14ac:dyDescent="0.25">
      <c r="A130" t="s">
        <v>309</v>
      </c>
      <c r="B130" s="34">
        <f>UV_rise*(Ruvlo_top+Ruvlo_bottom_calc)/Ruvlo_bottom_calc</f>
        <v>10.000000000000002</v>
      </c>
      <c r="E130" t="s">
        <v>311</v>
      </c>
    </row>
    <row r="131" spans="1:7" x14ac:dyDescent="0.25">
      <c r="A131" t="s">
        <v>310</v>
      </c>
      <c r="B131" s="34">
        <f>Ruvlo_top*((UV_fall/Ruvlo_top)-(UV_I_hyst)+(UV_fall/Ruvlo_bottom_calc))</f>
        <v>9.002727272727272</v>
      </c>
      <c r="E131" t="s">
        <v>312</v>
      </c>
      <c r="G131" s="31"/>
    </row>
    <row r="134" spans="1:7" x14ac:dyDescent="0.25">
      <c r="A134" s="28" t="s">
        <v>171</v>
      </c>
    </row>
    <row r="135" spans="1:7" x14ac:dyDescent="0.25">
      <c r="A135" s="32" t="s">
        <v>197</v>
      </c>
      <c r="B135" s="3" t="str">
        <f>'Design Converter'!H54</f>
        <v>11V</v>
      </c>
      <c r="C135" t="s">
        <v>10</v>
      </c>
      <c r="E135" t="s">
        <v>238</v>
      </c>
    </row>
    <row r="136" spans="1:7" x14ac:dyDescent="0.25">
      <c r="A136" s="32"/>
    </row>
    <row r="137" spans="1:7" x14ac:dyDescent="0.25">
      <c r="A137" s="31" t="s">
        <v>252</v>
      </c>
    </row>
    <row r="138" spans="1:7" x14ac:dyDescent="0.25">
      <c r="A138" t="s">
        <v>550</v>
      </c>
      <c r="B138">
        <f>VOUT_range</f>
        <v>2</v>
      </c>
      <c r="E138" t="s">
        <v>520</v>
      </c>
    </row>
    <row r="139" spans="1:7" x14ac:dyDescent="0.25">
      <c r="A139" t="s">
        <v>551</v>
      </c>
      <c r="B139">
        <f>CHOOSE(VOUT_range,Kfb_low,Kfb_high)</f>
        <v>60</v>
      </c>
      <c r="C139" t="s">
        <v>150</v>
      </c>
    </row>
    <row r="140" spans="1:7" x14ac:dyDescent="0.25">
      <c r="A140" t="s">
        <v>558</v>
      </c>
      <c r="B140">
        <f>CHOOSE(VOUT_range,Rmax_low,Rmax_high)</f>
        <v>35000</v>
      </c>
      <c r="C140" t="s">
        <v>469</v>
      </c>
    </row>
    <row r="141" spans="1:7" x14ac:dyDescent="0.25">
      <c r="A141" t="s">
        <v>559</v>
      </c>
      <c r="B141">
        <f>CHOOSE(VOUT_range,Rmin_low,Rmin_high)</f>
        <v>20000</v>
      </c>
      <c r="C141" t="s">
        <v>469</v>
      </c>
    </row>
    <row r="142" spans="1:7" x14ac:dyDescent="0.25">
      <c r="A142" t="s">
        <v>562</v>
      </c>
      <c r="B142" s="1">
        <f>VOUT/Kfb</f>
        <v>0.89166666666666672</v>
      </c>
      <c r="C142" t="s">
        <v>10</v>
      </c>
      <c r="E142" t="s">
        <v>563</v>
      </c>
    </row>
    <row r="143" spans="1:7" x14ac:dyDescent="0.25">
      <c r="A143" t="s">
        <v>560</v>
      </c>
      <c r="B143" s="1">
        <f>((Vref*Rmax)-(VTRK*Rmax))/Vref</f>
        <v>3791.6666666666642</v>
      </c>
      <c r="E143">
        <f>Vref</f>
        <v>1</v>
      </c>
    </row>
    <row r="144" spans="1:7" x14ac:dyDescent="0.25">
      <c r="A144" t="s">
        <v>561</v>
      </c>
      <c r="B144" s="1">
        <f>((Vref*Rmin)-(VTRK*Rmin))/Vref</f>
        <v>2166.6666666666642</v>
      </c>
    </row>
    <row r="145" spans="1:5" x14ac:dyDescent="0.25">
      <c r="A145" t="s">
        <v>189</v>
      </c>
      <c r="B145" s="3">
        <f>'Design Converter'!H60*(10^3)</f>
        <v>3300</v>
      </c>
      <c r="C145" s="2" t="s">
        <v>36</v>
      </c>
      <c r="E145" t="s">
        <v>239</v>
      </c>
    </row>
    <row r="146" spans="1:5" x14ac:dyDescent="0.25">
      <c r="A146" t="s">
        <v>243</v>
      </c>
      <c r="B146" s="18">
        <f>RFBT/((Vref/VTRK)-1)</f>
        <v>27161.538461538483</v>
      </c>
      <c r="C146" s="2" t="s">
        <v>36</v>
      </c>
      <c r="E146" t="s">
        <v>246</v>
      </c>
    </row>
    <row r="147" spans="1:5" x14ac:dyDescent="0.25">
      <c r="A147" t="s">
        <v>190</v>
      </c>
      <c r="B147" s="3">
        <f>'Design Converter'!H62*(10^3)</f>
        <v>27000</v>
      </c>
      <c r="C147" s="2" t="s">
        <v>36</v>
      </c>
      <c r="E147" t="s">
        <v>247</v>
      </c>
    </row>
    <row r="148" spans="1:5" x14ac:dyDescent="0.25">
      <c r="A148" t="s">
        <v>248</v>
      </c>
      <c r="B148">
        <f>VOUT/(RFBB+RFBT)</f>
        <v>1.7656765676567657E-3</v>
      </c>
      <c r="C148" s="2" t="s">
        <v>11</v>
      </c>
      <c r="E148" t="s">
        <v>567</v>
      </c>
    </row>
    <row r="149" spans="1:5" x14ac:dyDescent="0.25">
      <c r="C149" s="2"/>
    </row>
    <row r="150" spans="1:5" x14ac:dyDescent="0.25">
      <c r="A150" s="31" t="s">
        <v>253</v>
      </c>
      <c r="E150" t="s">
        <v>388</v>
      </c>
    </row>
    <row r="152" spans="1:5" x14ac:dyDescent="0.25">
      <c r="A152" s="22" t="s">
        <v>452</v>
      </c>
      <c r="E152" t="s">
        <v>504</v>
      </c>
    </row>
    <row r="153" spans="1:5" x14ac:dyDescent="0.25">
      <c r="A153" s="22"/>
    </row>
    <row r="154" spans="1:5" x14ac:dyDescent="0.25">
      <c r="A154" t="s">
        <v>501</v>
      </c>
      <c r="B154" s="20">
        <f>(R_cs*Acs/(2*Lm*Fsw))*(1-(VIN_min/VOUT))*(VIN_min/VOUT)</f>
        <v>8.1666521093545286E-4</v>
      </c>
      <c r="E154" t="s">
        <v>497</v>
      </c>
    </row>
    <row r="155" spans="1:5" x14ac:dyDescent="0.25">
      <c r="A155" t="s">
        <v>502</v>
      </c>
      <c r="B155" s="20">
        <f>1/((0.5-(1-(VIN_min/VOUT)))*(R_cs*Acs/(Lm*Fsw))+(Vsl*Acs/VOUT))</f>
        <v>182.90598290598294</v>
      </c>
      <c r="E155" t="s">
        <v>497</v>
      </c>
    </row>
    <row r="156" spans="1:5" x14ac:dyDescent="0.25">
      <c r="A156" t="s">
        <v>503</v>
      </c>
      <c r="B156" s="20">
        <f>2+((VOUT*((VIN_min/VOUT)^2))/(IOUT*R_cs*Acs))*((1/Km_VINmin)+(Kex_VINmin/(VIN_min/VOUT)))</f>
        <v>2.2372065488494872</v>
      </c>
      <c r="E156" t="s">
        <v>497</v>
      </c>
    </row>
    <row r="157" spans="1:5" x14ac:dyDescent="0.25">
      <c r="A157" s="22"/>
      <c r="B157" s="20"/>
    </row>
    <row r="158" spans="1:5" x14ac:dyDescent="0.25">
      <c r="A158" s="22"/>
      <c r="B158" s="20"/>
    </row>
    <row r="159" spans="1:5" x14ac:dyDescent="0.25">
      <c r="A159" s="22"/>
      <c r="B159" s="20"/>
    </row>
    <row r="160" spans="1:5" x14ac:dyDescent="0.25">
      <c r="A160" t="s">
        <v>398</v>
      </c>
      <c r="B160" s="20">
        <f>(Gcomp*(VIN_min/VOUT)*(VOUT/IOUT))/(Kd_VINmin*R_cs*Acs/Np)</f>
        <v>54.631621870174037</v>
      </c>
    </row>
    <row r="161" spans="1:5" x14ac:dyDescent="0.25">
      <c r="B161" s="20"/>
    </row>
    <row r="162" spans="1:5" x14ac:dyDescent="0.25">
      <c r="A162" t="s">
        <v>399</v>
      </c>
      <c r="B162" s="20">
        <f>Kd_VINmin/(Cout*(VOUT/IOUT))</f>
        <v>250.90166902984905</v>
      </c>
      <c r="C162" t="s">
        <v>385</v>
      </c>
      <c r="E162" t="s">
        <v>384</v>
      </c>
    </row>
    <row r="163" spans="1:5" x14ac:dyDescent="0.25">
      <c r="A163" t="s">
        <v>400</v>
      </c>
      <c r="B163" s="20">
        <f>B162/(2*PI())</f>
        <v>39.932240856107185</v>
      </c>
      <c r="C163" t="s">
        <v>65</v>
      </c>
      <c r="E163" t="s">
        <v>249</v>
      </c>
    </row>
    <row r="164" spans="1:5" x14ac:dyDescent="0.25">
      <c r="B164" s="20"/>
    </row>
    <row r="165" spans="1:5" x14ac:dyDescent="0.25">
      <c r="A165" t="s">
        <v>401</v>
      </c>
      <c r="B165" s="20">
        <f>1/(Cout*Resr)</f>
        <v>20000</v>
      </c>
      <c r="C165" t="s">
        <v>386</v>
      </c>
      <c r="E165" t="s">
        <v>387</v>
      </c>
    </row>
    <row r="166" spans="1:5" x14ac:dyDescent="0.25">
      <c r="A166" t="s">
        <v>402</v>
      </c>
      <c r="B166" s="20">
        <f>B165/(2*PI())</f>
        <v>3183.098861837907</v>
      </c>
      <c r="C166" t="s">
        <v>65</v>
      </c>
      <c r="E166" t="s">
        <v>251</v>
      </c>
    </row>
    <row r="167" spans="1:5" x14ac:dyDescent="0.25">
      <c r="B167" s="20"/>
    </row>
    <row r="168" spans="1:5" x14ac:dyDescent="0.25">
      <c r="A168" t="s">
        <v>403</v>
      </c>
      <c r="B168" s="20">
        <f>((VOUT/IOUT)*((VIN_min/VOUT)^2))/(Lm)</f>
        <v>251298.02699896158</v>
      </c>
      <c r="E168" t="s">
        <v>383</v>
      </c>
    </row>
    <row r="169" spans="1:5" x14ac:dyDescent="0.25">
      <c r="A169" t="s">
        <v>404</v>
      </c>
      <c r="B169" s="20">
        <f>B168/(2*PI())</f>
        <v>39995.323186125308</v>
      </c>
      <c r="C169" t="s">
        <v>65</v>
      </c>
      <c r="E169" t="s">
        <v>250</v>
      </c>
    </row>
    <row r="170" spans="1:5" x14ac:dyDescent="0.25">
      <c r="B170" s="20">
        <f>Fsw/10</f>
        <v>100000</v>
      </c>
      <c r="C170" t="s">
        <v>65</v>
      </c>
      <c r="E170" t="s">
        <v>256</v>
      </c>
    </row>
    <row r="171" spans="1:5" x14ac:dyDescent="0.25">
      <c r="B171" s="30">
        <f>IF((B169/5)&lt;(B170),0,1)</f>
        <v>0</v>
      </c>
      <c r="E171" t="s">
        <v>257</v>
      </c>
    </row>
    <row r="172" spans="1:5" x14ac:dyDescent="0.25">
      <c r="B172" s="20"/>
    </row>
    <row r="173" spans="1:5" x14ac:dyDescent="0.25">
      <c r="A173" t="s">
        <v>405</v>
      </c>
      <c r="B173" s="20">
        <f>(Vsl*Fsw)</f>
        <v>45000</v>
      </c>
      <c r="C173" t="s">
        <v>150</v>
      </c>
      <c r="E173" t="s">
        <v>505</v>
      </c>
    </row>
    <row r="174" spans="1:5" x14ac:dyDescent="0.25">
      <c r="A174" t="s">
        <v>406</v>
      </c>
      <c r="B174" s="20">
        <f>(R_cs*VIN_min)/Lm</f>
        <v>11000</v>
      </c>
      <c r="C174" t="s">
        <v>150</v>
      </c>
      <c r="E174" t="s">
        <v>214</v>
      </c>
    </row>
    <row r="175" spans="1:5" x14ac:dyDescent="0.25">
      <c r="B175" s="20"/>
    </row>
    <row r="176" spans="1:5" x14ac:dyDescent="0.25">
      <c r="A176" t="s">
        <v>407</v>
      </c>
      <c r="B176" s="20">
        <f>2*PI()*Fsw</f>
        <v>6283185.307179586</v>
      </c>
      <c r="C176" t="s">
        <v>216</v>
      </c>
      <c r="E176" t="s">
        <v>498</v>
      </c>
    </row>
    <row r="177" spans="1:5" x14ac:dyDescent="0.25">
      <c r="A177" t="s">
        <v>408</v>
      </c>
      <c r="B177" s="20">
        <f>1/(PI()*(((VIN_min/VOUT)*(1+(B173/B174)))-0.5))</f>
        <v>0.58220782601137799</v>
      </c>
      <c r="E177" t="s">
        <v>499</v>
      </c>
    </row>
    <row r="178" spans="1:5" x14ac:dyDescent="0.25">
      <c r="B178" s="20"/>
    </row>
    <row r="179" spans="1:5" x14ac:dyDescent="0.25">
      <c r="A179" t="s">
        <v>254</v>
      </c>
      <c r="B179" s="20">
        <f>IF(B171=0,fz_rhp/5,Fsw/10)</f>
        <v>7999.0646372250612</v>
      </c>
      <c r="C179" t="s">
        <v>65</v>
      </c>
      <c r="E179" t="s">
        <v>464</v>
      </c>
    </row>
    <row r="180" spans="1:5" x14ac:dyDescent="0.25">
      <c r="B180" s="29">
        <f>fcross</f>
        <v>8000</v>
      </c>
      <c r="C180" t="s">
        <v>539</v>
      </c>
      <c r="E180" t="s">
        <v>570</v>
      </c>
    </row>
    <row r="181" spans="1:5" x14ac:dyDescent="0.25">
      <c r="A181" t="s">
        <v>261</v>
      </c>
      <c r="B181" s="51">
        <f>SQRT(B163*fcross)</f>
        <v>565.20609236707412</v>
      </c>
      <c r="C181" t="s">
        <v>65</v>
      </c>
      <c r="E181" t="s">
        <v>490</v>
      </c>
    </row>
    <row r="182" spans="1:5" x14ac:dyDescent="0.25">
      <c r="A182" t="s">
        <v>263</v>
      </c>
      <c r="B182" s="30">
        <f>SQRT(fz_rhp*Fsw/2)</f>
        <v>141413.08847862229</v>
      </c>
      <c r="C182" t="s">
        <v>65</v>
      </c>
      <c r="E182" t="s">
        <v>417</v>
      </c>
    </row>
    <row r="184" spans="1:5" x14ac:dyDescent="0.25">
      <c r="A184" t="s">
        <v>509</v>
      </c>
      <c r="B184" s="20">
        <f>10^(-Loop_Modeling!AD7/20)</f>
        <v>1.3295624676569489</v>
      </c>
    </row>
    <row r="185" spans="1:5" x14ac:dyDescent="0.25">
      <c r="A185" t="s">
        <v>507</v>
      </c>
      <c r="B185" s="20">
        <f>SQRT(1+((B179/fp_ea_est)^2))</f>
        <v>1.0015985352699404</v>
      </c>
    </row>
    <row r="186" spans="1:5" x14ac:dyDescent="0.25">
      <c r="A186" t="s">
        <v>508</v>
      </c>
      <c r="B186" s="20">
        <f>SQRT(1+(fz_ea_est/B179)^2)</f>
        <v>1.0024932406428566</v>
      </c>
    </row>
    <row r="188" spans="1:5" x14ac:dyDescent="0.25">
      <c r="A188" t="s">
        <v>472</v>
      </c>
      <c r="B188" s="17">
        <f>(fp_ea_est*B184*Kfb)/((fp_ea_est-fz_ea_est)*gm_ea)*(B185/B186)</f>
        <v>80022.38859370572</v>
      </c>
      <c r="C188" s="2" t="s">
        <v>36</v>
      </c>
      <c r="E188" s="31" t="s">
        <v>506</v>
      </c>
    </row>
    <row r="189" spans="1:5" x14ac:dyDescent="0.25">
      <c r="A189" t="s">
        <v>473</v>
      </c>
      <c r="B189" s="155">
        <f>1/(2*PI()*fz_ea_est*Rcomp_calc_CCM)</f>
        <v>3.5188583644581517E-9</v>
      </c>
      <c r="C189" s="2" t="s">
        <v>162</v>
      </c>
    </row>
    <row r="190" spans="1:5" x14ac:dyDescent="0.25">
      <c r="A190" t="s">
        <v>474</v>
      </c>
      <c r="B190" s="155">
        <f>((gm_ea)/(2*PI()*fp_ea_est*B184*Kfb))*(B186/B185)</f>
        <v>1.4120767398649023E-11</v>
      </c>
      <c r="C190" t="s">
        <v>162</v>
      </c>
    </row>
    <row r="193" spans="1:5" x14ac:dyDescent="0.25">
      <c r="A193" s="22" t="s">
        <v>453</v>
      </c>
      <c r="E193" s="31"/>
    </row>
    <row r="195" spans="1:5" x14ac:dyDescent="0.25">
      <c r="A195" t="s">
        <v>459</v>
      </c>
      <c r="B195">
        <f>Fsw/((R_cs*Acs*(VIN_min/Lm))+((R_sl+Rsl_int)*Isl))</f>
        <v>9.0909016528986495</v>
      </c>
      <c r="C195" t="s">
        <v>150</v>
      </c>
      <c r="E195" t="s">
        <v>479</v>
      </c>
    </row>
    <row r="196" spans="1:5" x14ac:dyDescent="0.25">
      <c r="A196" t="s">
        <v>458</v>
      </c>
      <c r="B196">
        <f>(B195*2*VOUT/Dc_VIN_min)*(((VOUT/VIN_min)-1)/((2*VOUT/VIN_min)-1))</f>
        <v>542.09235950019081</v>
      </c>
      <c r="C196" t="s">
        <v>150</v>
      </c>
    </row>
    <row r="197" spans="1:5" x14ac:dyDescent="0.25">
      <c r="A197" t="s">
        <v>460</v>
      </c>
      <c r="B197">
        <f>(IOUT*((2*VOUT)-VIN_min))/(Cout*VOUT*(VOUT-VIN_min))</f>
        <v>253.32600329851564</v>
      </c>
      <c r="C197" t="s">
        <v>385</v>
      </c>
    </row>
    <row r="198" spans="1:5" x14ac:dyDescent="0.25">
      <c r="B198">
        <f>B197/(2*PI())</f>
        <v>40.318085638672549</v>
      </c>
      <c r="C198" t="s">
        <v>65</v>
      </c>
    </row>
    <row r="199" spans="1:5" x14ac:dyDescent="0.25">
      <c r="A199" t="s">
        <v>461</v>
      </c>
      <c r="B199">
        <f>1/(Cout*Resr)</f>
        <v>20000</v>
      </c>
      <c r="C199" t="s">
        <v>385</v>
      </c>
    </row>
    <row r="200" spans="1:5" x14ac:dyDescent="0.25">
      <c r="B200">
        <f>B199/(2*PI())</f>
        <v>3183.098861837907</v>
      </c>
      <c r="C200" t="s">
        <v>65</v>
      </c>
    </row>
    <row r="201" spans="1:5" x14ac:dyDescent="0.25">
      <c r="A201" t="s">
        <v>462</v>
      </c>
      <c r="B201">
        <f>2*Fsw/(Dc_VIN_min)</f>
        <v>2517647.0588235296</v>
      </c>
      <c r="C201" t="s">
        <v>385</v>
      </c>
      <c r="E201" t="s">
        <v>478</v>
      </c>
    </row>
    <row r="202" spans="1:5" x14ac:dyDescent="0.25">
      <c r="B202">
        <f>B201/(2*PI())</f>
        <v>400695.97437253653</v>
      </c>
      <c r="C202" t="s">
        <v>65</v>
      </c>
    </row>
    <row r="204" spans="1:5" x14ac:dyDescent="0.25">
      <c r="A204" t="s">
        <v>463</v>
      </c>
      <c r="B204">
        <f>IF(2*Fsw/(2*PI()*Dc_VIN_min*5)&lt;Fsw/10,2*Fsw/(2*PI()*Dc_VIN_min*5),Fsw/10)</f>
        <v>80139.194874507302</v>
      </c>
      <c r="C204" t="s">
        <v>65</v>
      </c>
      <c r="E204" t="s">
        <v>569</v>
      </c>
    </row>
    <row r="205" spans="1:5" x14ac:dyDescent="0.25">
      <c r="B205" s="29">
        <f>fcross</f>
        <v>8000</v>
      </c>
      <c r="C205" t="s">
        <v>539</v>
      </c>
      <c r="E205" t="s">
        <v>570</v>
      </c>
    </row>
    <row r="206" spans="1:5" x14ac:dyDescent="0.25">
      <c r="A206" t="s">
        <v>261</v>
      </c>
      <c r="B206" s="51">
        <f>SQRT(B198*fcross)</f>
        <v>567.93017626234689</v>
      </c>
      <c r="C206" t="s">
        <v>65</v>
      </c>
    </row>
    <row r="207" spans="1:5" x14ac:dyDescent="0.25">
      <c r="A207" t="s">
        <v>263</v>
      </c>
      <c r="B207" s="30">
        <f>Fsw/2</f>
        <v>500000</v>
      </c>
      <c r="C207" t="s">
        <v>65</v>
      </c>
    </row>
    <row r="209" spans="1:5" x14ac:dyDescent="0.25">
      <c r="A209" t="s">
        <v>509</v>
      </c>
      <c r="B209" s="20">
        <f>10^(-Loop_Modeling!AQ7/20)</f>
        <v>0.42747100755736789</v>
      </c>
    </row>
    <row r="210" spans="1:5" x14ac:dyDescent="0.25">
      <c r="A210" t="s">
        <v>507</v>
      </c>
      <c r="B210" s="20">
        <f>SQRT(1+((fcross/B207)^2))</f>
        <v>1.0001279918090484</v>
      </c>
    </row>
    <row r="211" spans="1:5" x14ac:dyDescent="0.25">
      <c r="A211" t="s">
        <v>508</v>
      </c>
      <c r="B211" s="20">
        <f>SQRT(1+(B206/fcross)^2)</f>
        <v>1.0025167134291748</v>
      </c>
    </row>
    <row r="214" spans="1:5" x14ac:dyDescent="0.25">
      <c r="A214" t="s">
        <v>466</v>
      </c>
      <c r="B214">
        <f>(B207*B209*Kfb)/((B207-B206)*gm_ea)*(B210/B211)</f>
        <v>25616.244178602465</v>
      </c>
      <c r="C214" t="s">
        <v>469</v>
      </c>
      <c r="E214" t="s">
        <v>260</v>
      </c>
    </row>
    <row r="215" spans="1:5" x14ac:dyDescent="0.25">
      <c r="A215" t="s">
        <v>470</v>
      </c>
      <c r="B215">
        <f>1/(2*PI()*B206*RCOMP_CALC_DCM)</f>
        <v>1.0939808814602692E-8</v>
      </c>
      <c r="C215" t="s">
        <v>162</v>
      </c>
      <c r="E215" t="s">
        <v>467</v>
      </c>
    </row>
    <row r="216" spans="1:5" x14ac:dyDescent="0.25">
      <c r="A216" t="s">
        <v>471</v>
      </c>
      <c r="B216">
        <f>((gm_ea)/(2*PI()*B207*Kfb))*(B211/B210)</f>
        <v>5.3178357097370978E-12</v>
      </c>
      <c r="C216" t="s">
        <v>162</v>
      </c>
      <c r="E216" t="s">
        <v>468</v>
      </c>
    </row>
    <row r="217" spans="1:5" ht="16.5" customHeight="1" x14ac:dyDescent="0.25"/>
    <row r="218" spans="1:5" ht="16.5" customHeight="1" x14ac:dyDescent="0.25">
      <c r="A218" s="152" t="s">
        <v>465</v>
      </c>
    </row>
    <row r="219" spans="1:5" x14ac:dyDescent="0.25">
      <c r="B219">
        <f>IF(B54=0,B204,B179)</f>
        <v>7999.0646372250612</v>
      </c>
      <c r="C219" t="s">
        <v>65</v>
      </c>
      <c r="E219" t="s">
        <v>568</v>
      </c>
    </row>
    <row r="220" spans="1:5" x14ac:dyDescent="0.25">
      <c r="A220" t="s">
        <v>254</v>
      </c>
      <c r="B220" s="3">
        <f>'Design Converter'!H65*1000</f>
        <v>8000</v>
      </c>
      <c r="C220" t="s">
        <v>65</v>
      </c>
      <c r="E220" t="s">
        <v>255</v>
      </c>
    </row>
    <row r="222" spans="1:5" x14ac:dyDescent="0.25">
      <c r="A222" t="s">
        <v>259</v>
      </c>
      <c r="B222">
        <f>IF(B54=0,RCOMP_CALC_DCM,Rcomp_calc_CCM)</f>
        <v>80022.38859370572</v>
      </c>
    </row>
    <row r="223" spans="1:5" x14ac:dyDescent="0.25">
      <c r="A223" t="s">
        <v>180</v>
      </c>
      <c r="B223" s="3">
        <f>'Design Converter'!H68*1000</f>
        <v>80000</v>
      </c>
      <c r="C223" s="2" t="s">
        <v>36</v>
      </c>
      <c r="E223" t="s">
        <v>186</v>
      </c>
    </row>
    <row r="224" spans="1:5" x14ac:dyDescent="0.25">
      <c r="A224" t="s">
        <v>262</v>
      </c>
      <c r="B224">
        <f>IF(B54=0,CCOMP_CALC_DCM,CCOMP_calc_CCM)</f>
        <v>3.5188583644581517E-9</v>
      </c>
    </row>
    <row r="225" spans="1:5" x14ac:dyDescent="0.25">
      <c r="A225" t="s">
        <v>184</v>
      </c>
      <c r="B225" s="3">
        <f>'Design Converter'!H69*(10^-9)</f>
        <v>3.3000000000000002E-9</v>
      </c>
      <c r="C225" t="s">
        <v>162</v>
      </c>
      <c r="E225" t="s">
        <v>187</v>
      </c>
    </row>
    <row r="226" spans="1:5" x14ac:dyDescent="0.25">
      <c r="A226" t="s">
        <v>475</v>
      </c>
      <c r="B226">
        <f>IF(B54=0,CHF_CALC_DCM,CHF_CALC_CCM)</f>
        <v>1.4120767398649023E-11</v>
      </c>
    </row>
    <row r="227" spans="1:5" x14ac:dyDescent="0.25">
      <c r="A227" t="s">
        <v>185</v>
      </c>
      <c r="B227" s="3">
        <f>'Design Converter'!H70*(10^-12)</f>
        <v>1.4E-11</v>
      </c>
      <c r="C227" t="s">
        <v>162</v>
      </c>
      <c r="E227" t="s">
        <v>188</v>
      </c>
    </row>
    <row r="229" spans="1:5" x14ac:dyDescent="0.25">
      <c r="A229" s="28" t="s">
        <v>320</v>
      </c>
    </row>
    <row r="230" spans="1:5" x14ac:dyDescent="0.25">
      <c r="A230" s="28" t="s">
        <v>338</v>
      </c>
    </row>
    <row r="231" spans="1:5" x14ac:dyDescent="0.25">
      <c r="A231" s="86" t="s">
        <v>392</v>
      </c>
      <c r="E231" t="s">
        <v>393</v>
      </c>
    </row>
    <row r="236" spans="1:5" x14ac:dyDescent="0.25">
      <c r="A236" s="28" t="s">
        <v>575</v>
      </c>
    </row>
    <row r="237" spans="1:5" ht="15.75" x14ac:dyDescent="0.3">
      <c r="A237" t="s">
        <v>347</v>
      </c>
      <c r="B237" s="3">
        <f>'Design Converter'!H75*(10^-3)</f>
        <v>4.0000000000000001E-3</v>
      </c>
      <c r="C237" s="2" t="s">
        <v>36</v>
      </c>
      <c r="E237" s="78" t="s">
        <v>327</v>
      </c>
    </row>
    <row r="238" spans="1:5" ht="15.75" x14ac:dyDescent="0.3">
      <c r="A238" t="s">
        <v>339</v>
      </c>
      <c r="B238" s="3">
        <f>'Design Converter'!H76*(10^-9)</f>
        <v>1.2000000000000002E-8</v>
      </c>
      <c r="C238" t="s">
        <v>162</v>
      </c>
      <c r="E238" s="78" t="s">
        <v>328</v>
      </c>
    </row>
    <row r="239" spans="1:5" ht="15.75" x14ac:dyDescent="0.3">
      <c r="A239" t="s">
        <v>341</v>
      </c>
      <c r="B239" s="3">
        <f>'Design Converter'!H77*(10^-9)</f>
        <v>1.7000000000000001E-9</v>
      </c>
      <c r="C239" t="s">
        <v>162</v>
      </c>
      <c r="E239" s="78" t="s">
        <v>329</v>
      </c>
    </row>
    <row r="240" spans="1:5" ht="15.75" x14ac:dyDescent="0.3">
      <c r="A240" t="s">
        <v>340</v>
      </c>
      <c r="B240" s="3">
        <f>'Design Converter'!H78*(10^-9)</f>
        <v>1.9000000000000001E-9</v>
      </c>
      <c r="C240" t="s">
        <v>162</v>
      </c>
      <c r="E240" s="78" t="s">
        <v>330</v>
      </c>
    </row>
    <row r="241" spans="1:8" ht="15.75" x14ac:dyDescent="0.3">
      <c r="A241" t="s">
        <v>342</v>
      </c>
      <c r="B241" s="3">
        <f>'Design Converter'!H79</f>
        <v>2.2000000000000002</v>
      </c>
      <c r="C241" s="2" t="s">
        <v>36</v>
      </c>
      <c r="E241" s="78" t="s">
        <v>331</v>
      </c>
    </row>
    <row r="242" spans="1:8" x14ac:dyDescent="0.25">
      <c r="A242" t="s">
        <v>348</v>
      </c>
      <c r="B242" s="12">
        <v>1.7</v>
      </c>
      <c r="C242" s="2"/>
      <c r="E242" s="78" t="s">
        <v>349</v>
      </c>
      <c r="H242" t="s">
        <v>358</v>
      </c>
    </row>
    <row r="243" spans="1:8" ht="15.75" x14ac:dyDescent="0.3">
      <c r="A243" t="s">
        <v>343</v>
      </c>
      <c r="B243" s="187">
        <v>90</v>
      </c>
      <c r="C243" s="2" t="s">
        <v>337</v>
      </c>
      <c r="E243" s="78" t="s">
        <v>332</v>
      </c>
    </row>
    <row r="244" spans="1:8" ht="15.75" x14ac:dyDescent="0.3">
      <c r="A244" t="s">
        <v>344</v>
      </c>
      <c r="B244" s="3">
        <f>'Design Converter'!H80</f>
        <v>1</v>
      </c>
      <c r="C244" s="2" t="s">
        <v>10</v>
      </c>
      <c r="E244" s="78" t="s">
        <v>333</v>
      </c>
    </row>
    <row r="245" spans="1:8" x14ac:dyDescent="0.25">
      <c r="A245" t="s">
        <v>354</v>
      </c>
      <c r="B245" s="12">
        <f>Vcc</f>
        <v>5</v>
      </c>
      <c r="C245" s="2" t="s">
        <v>10</v>
      </c>
      <c r="E245" s="78" t="s">
        <v>359</v>
      </c>
    </row>
    <row r="246" spans="1:8" x14ac:dyDescent="0.25">
      <c r="C246" s="2"/>
      <c r="E246" s="78"/>
    </row>
    <row r="247" spans="1:8" x14ac:dyDescent="0.25">
      <c r="C247" s="2"/>
      <c r="E247" s="78"/>
    </row>
    <row r="248" spans="1:8" x14ac:dyDescent="0.25">
      <c r="A248" t="s">
        <v>350</v>
      </c>
      <c r="B248" s="25">
        <f>Vth+(((VOUT*IOUT)/VIN_min)/gfs)</f>
        <v>1.3242424242424242</v>
      </c>
      <c r="C248" s="2" t="s">
        <v>10</v>
      </c>
      <c r="E248" s="78" t="s">
        <v>351</v>
      </c>
    </row>
    <row r="249" spans="1:8" x14ac:dyDescent="0.25">
      <c r="A249" t="s">
        <v>360</v>
      </c>
      <c r="B249" s="1">
        <f>(Qgd+(Qgs/2))*((Rgate+B242)/(Vcc-B248))</f>
        <v>2.8116652926628201E-9</v>
      </c>
      <c r="C249" s="2" t="s">
        <v>51</v>
      </c>
      <c r="E249" s="78" t="s">
        <v>352</v>
      </c>
    </row>
    <row r="250" spans="1:8" ht="15.75" thickBot="1" x14ac:dyDescent="0.3">
      <c r="A250" t="s">
        <v>361</v>
      </c>
      <c r="B250" s="1">
        <f>(Qgd+(Qgs/2))*((B242+Rgate)/B248)</f>
        <v>7.8044622425629292E-9</v>
      </c>
      <c r="C250" t="s">
        <v>51</v>
      </c>
      <c r="E250" s="79" t="s">
        <v>353</v>
      </c>
    </row>
    <row r="253" spans="1:8" x14ac:dyDescent="0.25">
      <c r="A253" s="28" t="s">
        <v>576</v>
      </c>
    </row>
    <row r="254" spans="1:8" ht="15.75" x14ac:dyDescent="0.3">
      <c r="A254" t="s">
        <v>347</v>
      </c>
      <c r="B254" s="3">
        <f>'Design Converter'!H83*(10^-3)</f>
        <v>4.0000000000000001E-3</v>
      </c>
      <c r="C254" s="2" t="s">
        <v>36</v>
      </c>
      <c r="E254" s="78" t="s">
        <v>327</v>
      </c>
    </row>
    <row r="255" spans="1:8" ht="15.75" x14ac:dyDescent="0.3">
      <c r="A255" t="s">
        <v>339</v>
      </c>
      <c r="B255" s="3">
        <f>'Design Converter'!H84*(10^-9)</f>
        <v>1.2000000000000002E-8</v>
      </c>
      <c r="C255" t="s">
        <v>162</v>
      </c>
      <c r="E255" s="78" t="s">
        <v>328</v>
      </c>
    </row>
    <row r="256" spans="1:8" ht="15.75" x14ac:dyDescent="0.3">
      <c r="A256" t="s">
        <v>341</v>
      </c>
      <c r="B256" s="3">
        <f>'Design Converter'!H85*(10^-9)</f>
        <v>1.7000000000000001E-9</v>
      </c>
      <c r="C256" t="s">
        <v>162</v>
      </c>
      <c r="E256" s="78" t="s">
        <v>329</v>
      </c>
    </row>
    <row r="257" spans="1:5" ht="15.75" x14ac:dyDescent="0.3">
      <c r="A257" t="s">
        <v>340</v>
      </c>
      <c r="B257" s="3">
        <f>'Design Converter'!H86*(10^-9)</f>
        <v>1.9000000000000001E-9</v>
      </c>
      <c r="C257" t="s">
        <v>162</v>
      </c>
      <c r="E257" s="78" t="s">
        <v>330</v>
      </c>
    </row>
    <row r="258" spans="1:5" ht="15.75" x14ac:dyDescent="0.3">
      <c r="A258" t="s">
        <v>342</v>
      </c>
      <c r="B258" s="3">
        <f>'Design Converter'!H87</f>
        <v>2.2000000000000002</v>
      </c>
      <c r="C258" s="2" t="s">
        <v>36</v>
      </c>
      <c r="E258" s="78" t="s">
        <v>331</v>
      </c>
    </row>
    <row r="259" spans="1:5" x14ac:dyDescent="0.25">
      <c r="A259" t="s">
        <v>348</v>
      </c>
      <c r="B259" s="12">
        <v>1.7</v>
      </c>
      <c r="C259" s="2"/>
      <c r="E259" s="78" t="s">
        <v>349</v>
      </c>
    </row>
    <row r="260" spans="1:5" ht="15.75" x14ac:dyDescent="0.3">
      <c r="A260" t="s">
        <v>343</v>
      </c>
      <c r="B260" s="187">
        <v>90</v>
      </c>
      <c r="C260" s="2" t="s">
        <v>337</v>
      </c>
      <c r="E260" s="78" t="s">
        <v>332</v>
      </c>
    </row>
    <row r="261" spans="1:5" ht="15.75" x14ac:dyDescent="0.3">
      <c r="A261" t="s">
        <v>344</v>
      </c>
      <c r="B261" s="3">
        <f>'Design Converter'!H88</f>
        <v>1</v>
      </c>
      <c r="C261" s="2" t="s">
        <v>10</v>
      </c>
      <c r="E261" s="78" t="s">
        <v>333</v>
      </c>
    </row>
    <row r="262" spans="1:5" x14ac:dyDescent="0.25">
      <c r="A262" t="s">
        <v>354</v>
      </c>
      <c r="B262" s="12">
        <f>Vcc</f>
        <v>5</v>
      </c>
      <c r="C262" s="2" t="s">
        <v>10</v>
      </c>
      <c r="E262" s="78" t="s">
        <v>359</v>
      </c>
    </row>
    <row r="263" spans="1:5" x14ac:dyDescent="0.25">
      <c r="A263" t="s">
        <v>346</v>
      </c>
      <c r="B263" s="3">
        <f>'Design Converter'!H89*10^-9</f>
        <v>0</v>
      </c>
      <c r="C263" t="s">
        <v>345</v>
      </c>
      <c r="E263" t="s">
        <v>577</v>
      </c>
    </row>
    <row r="264" spans="1:5" x14ac:dyDescent="0.25">
      <c r="A264" t="s">
        <v>321</v>
      </c>
      <c r="B264" s="3">
        <f>'Design Converter'!H90</f>
        <v>0.6</v>
      </c>
      <c r="C264" t="s">
        <v>10</v>
      </c>
      <c r="E264" t="s">
        <v>578</v>
      </c>
    </row>
    <row r="265" spans="1:5" x14ac:dyDescent="0.25">
      <c r="C265" s="2"/>
      <c r="E265" s="78"/>
    </row>
    <row r="266" spans="1:5" x14ac:dyDescent="0.25">
      <c r="A266" t="s">
        <v>350</v>
      </c>
      <c r="B266" s="25">
        <f>Vth+(((VOUT*IOUT)/VIN_min)/B260)</f>
        <v>1.3242424242424242</v>
      </c>
      <c r="C266" s="2" t="s">
        <v>10</v>
      </c>
      <c r="E266" s="78" t="s">
        <v>351</v>
      </c>
    </row>
    <row r="267" spans="1:5" x14ac:dyDescent="0.25">
      <c r="A267" t="s">
        <v>360</v>
      </c>
      <c r="B267" s="1">
        <f>(B256+(B257/2))*((B258+B259)/(Vcc-B266))</f>
        <v>2.8116652926628201E-9</v>
      </c>
      <c r="C267" s="2" t="s">
        <v>51</v>
      </c>
      <c r="E267" s="78" t="s">
        <v>352</v>
      </c>
    </row>
    <row r="268" spans="1:5" ht="15.75" thickBot="1" x14ac:dyDescent="0.3">
      <c r="A268" t="s">
        <v>361</v>
      </c>
      <c r="B268" s="1">
        <f>(Qgd+(Qgs/2))*((B259+Rgate)/B266)</f>
        <v>7.8044622425629292E-9</v>
      </c>
      <c r="C268" t="s">
        <v>51</v>
      </c>
      <c r="E268" s="79" t="s">
        <v>353</v>
      </c>
    </row>
  </sheetData>
  <mergeCells count="2">
    <mergeCell ref="A1:J1"/>
    <mergeCell ref="E5:H5"/>
  </mergeCells>
  <pageMargins left="0.7" right="0.7" top="0.75" bottom="0.75" header="0.3" footer="0.3"/>
  <pageSetup orientation="portrait" r:id="rId1"/>
  <ignoredErrors>
    <ignoredError sqref="B199 B201" formula="1"/>
  </ignoredErrors>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110</xdr:row>
                <xdr:rowOff>0</xdr:rowOff>
              </from>
              <to>
                <xdr:col>13</xdr:col>
                <xdr:colOff>19050</xdr:colOff>
                <xdr:row>112</xdr:row>
                <xdr:rowOff>28575</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W157"/>
  <sheetViews>
    <sheetView topLeftCell="Q1" zoomScaleNormal="100" workbookViewId="0">
      <pane ySplit="6" topLeftCell="A136" activePane="bottomLeft" state="frozen"/>
      <selection activeCell="R1" sqref="R1"/>
      <selection pane="bottomLeft" activeCell="AI157" sqref="AI157"/>
    </sheetView>
  </sheetViews>
  <sheetFormatPr baseColWidth="10" defaultColWidth="9.140625" defaultRowHeight="15" x14ac:dyDescent="0.25"/>
  <cols>
    <col min="10" max="10" width="10" bestFit="1" customWidth="1"/>
    <col min="18" max="18" width="8.85546875"/>
    <col min="21" max="21" width="8.85546875"/>
    <col min="24" max="24" width="8.85546875"/>
    <col min="25" max="25" width="12" bestFit="1" customWidth="1"/>
    <col min="28" max="28" width="8.85546875"/>
    <col min="30" max="30" width="8.85546875"/>
    <col min="35" max="35" width="8.85546875"/>
    <col min="39" max="39" width="11" bestFit="1" customWidth="1"/>
    <col min="40" max="40" width="11" customWidth="1"/>
    <col min="43" max="44" width="8.7109375"/>
    <col min="45" max="46" width="8.85546875"/>
  </cols>
  <sheetData>
    <row r="1" spans="1:49" ht="27.75" x14ac:dyDescent="0.4">
      <c r="A1" s="213" t="s">
        <v>15</v>
      </c>
      <c r="B1" s="213"/>
      <c r="C1" s="213"/>
      <c r="D1" s="213"/>
      <c r="E1" s="213"/>
      <c r="F1" s="213"/>
      <c r="G1" s="213"/>
      <c r="H1" s="213"/>
      <c r="I1" s="213"/>
      <c r="J1" s="213"/>
      <c r="K1" s="213"/>
      <c r="L1" s="213"/>
      <c r="M1" s="213"/>
    </row>
    <row r="4" spans="1:49" ht="15.75" thickBot="1" x14ac:dyDescent="0.3">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row>
    <row r="5" spans="1:49" ht="30" x14ac:dyDescent="0.25">
      <c r="R5" s="219" t="s">
        <v>314</v>
      </c>
      <c r="S5" s="220"/>
      <c r="T5" s="220"/>
      <c r="U5" s="221"/>
      <c r="V5" s="219" t="s">
        <v>315</v>
      </c>
      <c r="W5" s="220"/>
      <c r="X5" s="221"/>
      <c r="Y5" s="219" t="s">
        <v>379</v>
      </c>
      <c r="Z5" s="220"/>
      <c r="AA5" s="220"/>
      <c r="AB5" s="220"/>
      <c r="AC5" s="220"/>
      <c r="AD5" s="221"/>
      <c r="AE5" s="219" t="s">
        <v>573</v>
      </c>
      <c r="AF5" s="220"/>
      <c r="AG5" s="220"/>
      <c r="AH5" s="220"/>
      <c r="AI5" s="221"/>
      <c r="AJ5" s="219" t="s">
        <v>574</v>
      </c>
      <c r="AK5" s="220"/>
      <c r="AL5" s="220"/>
      <c r="AM5" s="220"/>
      <c r="AN5" s="222"/>
      <c r="AO5" s="221"/>
      <c r="AP5" s="215" t="s">
        <v>376</v>
      </c>
      <c r="AQ5" s="216"/>
      <c r="AR5" s="216"/>
      <c r="AS5" s="217"/>
      <c r="AT5" s="218"/>
      <c r="AU5" s="83" t="s">
        <v>369</v>
      </c>
      <c r="AV5" s="84"/>
      <c r="AW5" s="85"/>
    </row>
    <row r="6" spans="1:49" ht="18" x14ac:dyDescent="0.35">
      <c r="R6" s="73" t="s">
        <v>31</v>
      </c>
      <c r="S6" s="71" t="s">
        <v>33</v>
      </c>
      <c r="T6" s="71" t="s">
        <v>270</v>
      </c>
      <c r="U6" s="74" t="s">
        <v>273</v>
      </c>
      <c r="V6" s="73" t="s">
        <v>271</v>
      </c>
      <c r="W6" s="71" t="s">
        <v>272</v>
      </c>
      <c r="X6" s="74" t="s">
        <v>319</v>
      </c>
      <c r="Y6" s="73" t="s">
        <v>316</v>
      </c>
      <c r="Z6" s="71" t="s">
        <v>318</v>
      </c>
      <c r="AA6" s="71" t="s">
        <v>317</v>
      </c>
      <c r="AB6" s="80" t="s">
        <v>323</v>
      </c>
      <c r="AC6" s="80" t="s">
        <v>324</v>
      </c>
      <c r="AD6" s="82" t="s">
        <v>367</v>
      </c>
      <c r="AE6" s="73" t="s">
        <v>362</v>
      </c>
      <c r="AF6" s="71" t="s">
        <v>363</v>
      </c>
      <c r="AG6" s="80" t="s">
        <v>365</v>
      </c>
      <c r="AH6" s="80" t="s">
        <v>364</v>
      </c>
      <c r="AI6" s="82" t="s">
        <v>366</v>
      </c>
      <c r="AJ6" s="73" t="s">
        <v>322</v>
      </c>
      <c r="AK6" s="71" t="s">
        <v>587</v>
      </c>
      <c r="AL6" s="71" t="s">
        <v>325</v>
      </c>
      <c r="AM6" s="71" t="s">
        <v>326</v>
      </c>
      <c r="AN6" s="188" t="s">
        <v>588</v>
      </c>
      <c r="AO6" s="74" t="s">
        <v>591</v>
      </c>
      <c r="AP6" s="73" t="s">
        <v>368</v>
      </c>
      <c r="AQ6" s="206" t="s">
        <v>324</v>
      </c>
      <c r="AR6" s="206" t="s">
        <v>593</v>
      </c>
      <c r="AS6" s="71" t="s">
        <v>371</v>
      </c>
      <c r="AT6" s="74" t="s">
        <v>372</v>
      </c>
      <c r="AU6" s="73" t="s">
        <v>370</v>
      </c>
      <c r="AV6" s="71" t="s">
        <v>378</v>
      </c>
      <c r="AW6" s="74" t="s">
        <v>377</v>
      </c>
    </row>
    <row r="7" spans="1:49" x14ac:dyDescent="0.25">
      <c r="Q7">
        <v>0</v>
      </c>
      <c r="R7" s="73">
        <f t="shared" ref="R7:R70" si="0">VOUT</f>
        <v>53.5</v>
      </c>
      <c r="S7" s="71">
        <f t="shared" ref="S7:S38" si="1">Q7*$O$12</f>
        <v>0</v>
      </c>
      <c r="T7" s="71">
        <f t="shared" ref="T7:T70" si="2">VIN_var</f>
        <v>11</v>
      </c>
      <c r="U7" s="74">
        <f t="shared" ref="U7:U38" si="3">(R7*S7)/(T7*EFF_est)</f>
        <v>0</v>
      </c>
      <c r="V7" s="73">
        <f>IF(Variable_Management!$B$20=3,2,IF((S7*R7/T7)&lt;((T7*(1-(T7/R7)))/(2*Lm*Fsw)),1,2))</f>
        <v>2</v>
      </c>
      <c r="W7" s="71">
        <f>CHOOSE(V7,SQRT((2*S7*Lm*Fsw*(R7-T7))/((T7)^2)),1-(T7/R7))</f>
        <v>0.79439252336448596</v>
      </c>
      <c r="X7" s="74">
        <f t="shared" ref="X7:X38" si="4">CHOOSE(V7,(Lm*Z7*Fsw)/(R7-T7),1-W7)</f>
        <v>0.20560747663551404</v>
      </c>
      <c r="Y7" s="73">
        <f t="shared" ref="Y7:Y38" si="5">(T7*W7)/(Lm*Fsw)</f>
        <v>5.8255451713395638</v>
      </c>
      <c r="Z7" s="71">
        <f>CHOOSE(V7,Y7,U7+(0.5*Y7))</f>
        <v>2.9127725856697819</v>
      </c>
      <c r="AA7" s="71">
        <f>CHOOSE(V7,Z7*SQRT((W7+X7)/3),SQRT((U7^2)+((Y7^2)/12)))</f>
        <v>1.6816900364246108</v>
      </c>
      <c r="AB7" s="71">
        <v>0</v>
      </c>
      <c r="AC7" s="71">
        <f t="shared" ref="AC7:AC38" si="6">(AA7^2)*Rdcr</f>
        <v>6.5045871708025605E-3</v>
      </c>
      <c r="AD7" s="74">
        <f>AB7+AC7</f>
        <v>6.5045871708025605E-3</v>
      </c>
      <c r="AE7" s="73">
        <f>U7*W7</f>
        <v>0</v>
      </c>
      <c r="AF7" s="71">
        <f>CHOOSE(V7,Z7*SQRT(W7/3),SQRT(W7*((Z7^2)+((Y7^2)/3)-(Z7*Y7))))</f>
        <v>1.4988684740943619</v>
      </c>
      <c r="AG7" s="71">
        <f t="shared" ref="AG7:AG38" si="7">(AF7^2)*RDS_on</f>
        <v>8.9864268105358421E-3</v>
      </c>
      <c r="AH7" s="71">
        <f>((R7*U7)/2)*Fsw*(tr_sw+tf_sw)</f>
        <v>0</v>
      </c>
      <c r="AI7" s="74">
        <f>AG7+AH7</f>
        <v>8.9864268105358421E-3</v>
      </c>
      <c r="AJ7" s="73">
        <f>X7*U7</f>
        <v>0</v>
      </c>
      <c r="AK7" s="71">
        <f>CHOOSE(V7,Z7*SQRT(X7/3),SQRT(X7*((Z7^2)+((Y7^2)/3)-(Y7*Z7))))</f>
        <v>0.76254486817225953</v>
      </c>
      <c r="AL7" s="71">
        <f t="shared" ref="AL7:AL38" si="8">(AK7^2)*RDS_on_HS</f>
        <v>2.3258987039033946E-3</v>
      </c>
      <c r="AM7" s="71">
        <f>CHOOSE(V7,0,(R7+Vd_rect)*Qrr*Fsw)</f>
        <v>0</v>
      </c>
      <c r="AN7" s="188">
        <f>Vd_rect*t_dead*Fsw*Z7</f>
        <v>3.4953271028037386E-2</v>
      </c>
      <c r="AO7" s="74">
        <f>AL7+AM7+AN7</f>
        <v>3.727916973194078E-2</v>
      </c>
      <c r="AP7" s="73">
        <f>(AA7^2)*R_cs</f>
        <v>4.2421220679147139E-3</v>
      </c>
      <c r="AQ7" s="206">
        <f t="shared" ref="AQ7:AQ38" si="9">Rdcr*AA7^2</f>
        <v>6.5045871708025605E-3</v>
      </c>
      <c r="AR7" s="206">
        <f t="shared" ref="AR7:AR38" si="10">ABS(7.759*10^-3*Fsw^0.9458*(0.00787*Y7)^2.304)</f>
        <v>3.0218089420955812</v>
      </c>
      <c r="AS7" s="71">
        <f t="shared" ref="AS7:AS38" si="11">(Qg_tot+Qg_tot_HS)*Vcc*Fsw</f>
        <v>0.12000000000000001</v>
      </c>
      <c r="AT7" s="74">
        <f t="shared" ref="AT7:AT38" si="12">IQ*T7</f>
        <v>3.6299999999999995E-5</v>
      </c>
      <c r="AU7" s="73">
        <f>AP7+AO7+AI7+AD7+AS7+AT7+AQ7+AR7</f>
        <v>3.2053621350475776</v>
      </c>
      <c r="AV7" s="71">
        <f>R7*S7</f>
        <v>0</v>
      </c>
      <c r="AW7" s="74">
        <f>(AV7/(AV7+AU7))*100</f>
        <v>0</v>
      </c>
    </row>
    <row r="8" spans="1:49" x14ac:dyDescent="0.25">
      <c r="M8">
        <f>Fsw</f>
        <v>1000000</v>
      </c>
      <c r="Q8">
        <v>1</v>
      </c>
      <c r="R8" s="73">
        <f t="shared" si="0"/>
        <v>53.5</v>
      </c>
      <c r="S8" s="71">
        <f t="shared" si="1"/>
        <v>0.04</v>
      </c>
      <c r="T8" s="71">
        <f t="shared" si="2"/>
        <v>11</v>
      </c>
      <c r="U8" s="74">
        <f t="shared" si="3"/>
        <v>0.19454545454545455</v>
      </c>
      <c r="V8" s="73">
        <f>IF(Variable_Management!$B$20=3,2,IF((S8*R8/T8)&lt;((T8*(1-(T8/R8)))/(2*Lm*Fsw)),1,2))</f>
        <v>2</v>
      </c>
      <c r="W8" s="71">
        <f t="shared" ref="W8:W38" si="13">CHOOSE(V8,SQRT((2*S8*Lm*Fsw*(R8-T8))/((T8)^2)),1-(T8/R8))</f>
        <v>0.79439252336448596</v>
      </c>
      <c r="X8" s="74">
        <f t="shared" si="4"/>
        <v>0.20560747663551404</v>
      </c>
      <c r="Y8" s="73">
        <f t="shared" si="5"/>
        <v>5.8255451713395638</v>
      </c>
      <c r="Z8" s="71">
        <f t="shared" ref="Z8:Z15" si="14">CHOOSE(V8,Y8,U8+(0.5*Y8))</f>
        <v>3.1073180402152363</v>
      </c>
      <c r="AA8" s="71">
        <f t="shared" ref="AA8:AA15" si="15">CHOOSE(V8,Z8*SQRT((W8+X8)/3),SQRT((U8^2)+((Y8^2)/12)))</f>
        <v>1.6929055828645927</v>
      </c>
      <c r="AB8" s="71">
        <v>0</v>
      </c>
      <c r="AC8" s="71">
        <f t="shared" si="6"/>
        <v>6.5916374187364448E-3</v>
      </c>
      <c r="AD8" s="74">
        <f t="shared" ref="AD8:AD71" si="16">AB8+AC8</f>
        <v>6.5916374187364448E-3</v>
      </c>
      <c r="AE8" s="73">
        <f>U8*W8</f>
        <v>0.15454545454545454</v>
      </c>
      <c r="AF8" s="71">
        <f t="shared" ref="AF8:AF71" si="17">CHOOSE(V8,Z8*SQRT(W8/3),SQRT(W8*((Z8^2)+((Y8^2)/3)-(Z8*Y8))))</f>
        <v>1.5088647448782277</v>
      </c>
      <c r="AG8" s="71">
        <f t="shared" si="7"/>
        <v>9.1066912733457576E-3</v>
      </c>
      <c r="AH8" s="71">
        <f t="shared" ref="AH8:AH38" si="18">((R8*U8)/2)*Fsw*(tr_sw+tf_sw)</f>
        <v>5.5247292795818005E-2</v>
      </c>
      <c r="AI8" s="74">
        <f t="shared" ref="AI8:AI71" si="19">AG8+AH8</f>
        <v>6.4353984069163761E-2</v>
      </c>
      <c r="AJ8" s="73">
        <f t="shared" ref="AJ8:AJ71" si="20">X8*U8</f>
        <v>4.0000000000000008E-2</v>
      </c>
      <c r="AK8" s="71">
        <f t="shared" ref="AK8:AK38" si="21">CHOOSE(V8,Z8*SQRT(X8/3),SQRT(X8*((Z8^2)+((Y8^2)/3)-(Y8*Z8))))</f>
        <v>0.76763044113535961</v>
      </c>
      <c r="AL8" s="71">
        <f t="shared" si="8"/>
        <v>2.3570259766306674E-3</v>
      </c>
      <c r="AM8" s="71">
        <f t="shared" ref="AM8:AM39" si="22">CHOOSE(V8,(R8+Vd_rect)*Qrr*Fsw,(R8+Vd_rect)*Qrr*Fsw)</f>
        <v>0</v>
      </c>
      <c r="AN8" s="188">
        <f t="shared" ref="AN8:AN38" si="23">Vd_rect*t_dead*Fsw*Z8</f>
        <v>3.7287816482582836E-2</v>
      </c>
      <c r="AO8" s="74">
        <f t="shared" ref="AO8:AO71" si="24">AL8+AM8+AN8</f>
        <v>3.96448424592135E-2</v>
      </c>
      <c r="AP8" s="73">
        <f t="shared" ref="AP8:AP38" si="25">(AA8^2)*R_cs</f>
        <v>4.29889396874116E-3</v>
      </c>
      <c r="AQ8" s="206">
        <f t="shared" si="9"/>
        <v>6.5916374187364448E-3</v>
      </c>
      <c r="AR8" s="206">
        <f t="shared" si="10"/>
        <v>3.0218089420955812</v>
      </c>
      <c r="AS8" s="71">
        <f t="shared" si="11"/>
        <v>0.12000000000000001</v>
      </c>
      <c r="AT8" s="74">
        <f t="shared" si="12"/>
        <v>3.6299999999999995E-5</v>
      </c>
      <c r="AU8" s="73">
        <f t="shared" ref="AU8:AU71" si="26">AP8+AO8+AI8+AD8+AS8+AT8+AQ8+AR8</f>
        <v>3.2633262374301726</v>
      </c>
      <c r="AV8" s="71">
        <f t="shared" ref="AV8:AV71" si="27">R8*S8</f>
        <v>2.14</v>
      </c>
      <c r="AW8" s="74">
        <f t="shared" ref="AW8:AW71" si="28">(AV8/(AV8+AU8))*100</f>
        <v>39.605233997823277</v>
      </c>
    </row>
    <row r="9" spans="1:49" x14ac:dyDescent="0.25">
      <c r="N9" s="71" t="s">
        <v>198</v>
      </c>
      <c r="O9" s="71">
        <f>VIN_var</f>
        <v>11</v>
      </c>
      <c r="P9" t="s">
        <v>10</v>
      </c>
      <c r="Q9">
        <v>2</v>
      </c>
      <c r="R9" s="73">
        <f t="shared" si="0"/>
        <v>53.5</v>
      </c>
      <c r="S9" s="71">
        <f t="shared" si="1"/>
        <v>0.08</v>
      </c>
      <c r="T9" s="71">
        <f t="shared" si="2"/>
        <v>11</v>
      </c>
      <c r="U9" s="74">
        <f t="shared" si="3"/>
        <v>0.3890909090909091</v>
      </c>
      <c r="V9" s="73">
        <f>IF(Variable_Management!$B$20=3,2,IF((S9*R9/T9)&lt;((T9*(1-(T9/R9)))/(2*Lm*Fsw)),1,2))</f>
        <v>2</v>
      </c>
      <c r="W9" s="71">
        <f t="shared" si="13"/>
        <v>0.79439252336448596</v>
      </c>
      <c r="X9" s="74">
        <f t="shared" si="4"/>
        <v>0.20560747663551404</v>
      </c>
      <c r="Y9" s="73">
        <f t="shared" si="5"/>
        <v>5.8255451713395638</v>
      </c>
      <c r="Z9" s="71">
        <f t="shared" si="14"/>
        <v>3.3018634947606911</v>
      </c>
      <c r="AA9" s="71">
        <f t="shared" si="15"/>
        <v>1.7261150350272136</v>
      </c>
      <c r="AB9" s="71">
        <v>0</v>
      </c>
      <c r="AC9" s="71">
        <f t="shared" si="6"/>
        <v>6.8527881625380978E-3</v>
      </c>
      <c r="AD9" s="74">
        <f t="shared" si="16"/>
        <v>6.8527881625380978E-3</v>
      </c>
      <c r="AE9" s="73">
        <f t="shared" ref="AE9:AE72" si="29">U9*W9</f>
        <v>0.30909090909090908</v>
      </c>
      <c r="AF9" s="71">
        <f t="shared" si="17"/>
        <v>1.5384638979982199</v>
      </c>
      <c r="AG9" s="71">
        <f t="shared" si="7"/>
        <v>9.4674846617755094E-3</v>
      </c>
      <c r="AH9" s="71">
        <f t="shared" si="18"/>
        <v>0.11049458559163601</v>
      </c>
      <c r="AI9" s="74">
        <f t="shared" si="19"/>
        <v>0.11996207025341152</v>
      </c>
      <c r="AJ9" s="73">
        <f t="shared" si="20"/>
        <v>8.0000000000000016E-2</v>
      </c>
      <c r="AK9" s="71">
        <f t="shared" si="21"/>
        <v>0.78268892205212737</v>
      </c>
      <c r="AL9" s="71">
        <f t="shared" si="8"/>
        <v>2.4504077948124844E-3</v>
      </c>
      <c r="AM9" s="71">
        <f t="shared" si="22"/>
        <v>0</v>
      </c>
      <c r="AN9" s="188">
        <f t="shared" si="23"/>
        <v>3.9622361937128293E-2</v>
      </c>
      <c r="AO9" s="74">
        <f t="shared" si="24"/>
        <v>4.2072769731940775E-2</v>
      </c>
      <c r="AP9" s="73">
        <f t="shared" si="25"/>
        <v>4.4692096712204985E-3</v>
      </c>
      <c r="AQ9" s="206">
        <f t="shared" si="9"/>
        <v>6.8527881625380978E-3</v>
      </c>
      <c r="AR9" s="206">
        <f t="shared" si="10"/>
        <v>3.0218089420955812</v>
      </c>
      <c r="AS9" s="71">
        <f t="shared" si="11"/>
        <v>0.12000000000000001</v>
      </c>
      <c r="AT9" s="74">
        <f t="shared" si="12"/>
        <v>3.6299999999999995E-5</v>
      </c>
      <c r="AU9" s="73">
        <f t="shared" si="26"/>
        <v>3.3220548680772302</v>
      </c>
      <c r="AV9" s="71">
        <f t="shared" si="27"/>
        <v>4.28</v>
      </c>
      <c r="AW9" s="74">
        <f t="shared" si="28"/>
        <v>56.300567073946027</v>
      </c>
    </row>
    <row r="10" spans="1:49" x14ac:dyDescent="0.25">
      <c r="N10" s="71"/>
      <c r="O10" s="71"/>
      <c r="Q10">
        <v>3</v>
      </c>
      <c r="R10" s="73">
        <f t="shared" si="0"/>
        <v>53.5</v>
      </c>
      <c r="S10" s="71">
        <f t="shared" si="1"/>
        <v>0.12</v>
      </c>
      <c r="T10" s="71">
        <f t="shared" si="2"/>
        <v>11</v>
      </c>
      <c r="U10" s="74">
        <f t="shared" si="3"/>
        <v>0.58363636363636362</v>
      </c>
      <c r="V10" s="73">
        <f>IF(Variable_Management!$B$20=3,2,IF((S10*R10/T10)&lt;((T10*(1-(T10/R10)))/(2*Lm*Fsw)),1,2))</f>
        <v>2</v>
      </c>
      <c r="W10" s="71">
        <f t="shared" si="13"/>
        <v>0.79439252336448596</v>
      </c>
      <c r="X10" s="74">
        <f t="shared" si="4"/>
        <v>0.20560747663551404</v>
      </c>
      <c r="Y10" s="73">
        <f t="shared" si="5"/>
        <v>5.8255451713395638</v>
      </c>
      <c r="Z10" s="71">
        <f t="shared" si="14"/>
        <v>3.4964089493061454</v>
      </c>
      <c r="AA10" s="71">
        <f t="shared" si="15"/>
        <v>1.7800878583846604</v>
      </c>
      <c r="AB10" s="71">
        <v>0</v>
      </c>
      <c r="AC10" s="71">
        <f t="shared" si="6"/>
        <v>7.2880394022075195E-3</v>
      </c>
      <c r="AD10" s="74">
        <f t="shared" si="16"/>
        <v>7.2880394022075195E-3</v>
      </c>
      <c r="AE10" s="73">
        <f t="shared" si="29"/>
        <v>0.46363636363636362</v>
      </c>
      <c r="AF10" s="71">
        <f t="shared" si="17"/>
        <v>1.5865691740218175</v>
      </c>
      <c r="AG10" s="71">
        <f t="shared" si="7"/>
        <v>1.0068806975825089E-2</v>
      </c>
      <c r="AH10" s="71">
        <f t="shared" si="18"/>
        <v>0.16574187838745399</v>
      </c>
      <c r="AI10" s="74">
        <f t="shared" si="19"/>
        <v>0.1758106853632791</v>
      </c>
      <c r="AJ10" s="73">
        <f t="shared" si="20"/>
        <v>0.12000000000000001</v>
      </c>
      <c r="AK10" s="71">
        <f t="shared" si="21"/>
        <v>0.80716233783063229</v>
      </c>
      <c r="AL10" s="71">
        <f t="shared" si="8"/>
        <v>2.6060441584488474E-3</v>
      </c>
      <c r="AM10" s="71">
        <f t="shared" si="22"/>
        <v>0</v>
      </c>
      <c r="AN10" s="188">
        <f t="shared" si="23"/>
        <v>4.1956907391673744E-2</v>
      </c>
      <c r="AO10" s="74">
        <f t="shared" si="24"/>
        <v>4.456295155012259E-2</v>
      </c>
      <c r="AP10" s="73">
        <f t="shared" si="25"/>
        <v>4.7530691753527301E-3</v>
      </c>
      <c r="AQ10" s="206">
        <f t="shared" si="9"/>
        <v>7.2880394022075195E-3</v>
      </c>
      <c r="AR10" s="206">
        <f t="shared" si="10"/>
        <v>3.0218089420955812</v>
      </c>
      <c r="AS10" s="71">
        <f t="shared" si="11"/>
        <v>0.12000000000000001</v>
      </c>
      <c r="AT10" s="74">
        <f t="shared" si="12"/>
        <v>3.6299999999999995E-5</v>
      </c>
      <c r="AU10" s="73">
        <f t="shared" si="26"/>
        <v>3.3815480269887503</v>
      </c>
      <c r="AV10" s="71">
        <f t="shared" si="27"/>
        <v>6.42</v>
      </c>
      <c r="AW10" s="74">
        <f t="shared" si="28"/>
        <v>65.499857597212269</v>
      </c>
    </row>
    <row r="11" spans="1:49" x14ac:dyDescent="0.25">
      <c r="N11" s="71" t="s">
        <v>268</v>
      </c>
      <c r="O11" s="71">
        <v>150</v>
      </c>
      <c r="Q11">
        <v>4</v>
      </c>
      <c r="R11" s="73">
        <f t="shared" si="0"/>
        <v>53.5</v>
      </c>
      <c r="S11" s="71">
        <f t="shared" si="1"/>
        <v>0.16</v>
      </c>
      <c r="T11" s="71">
        <f t="shared" si="2"/>
        <v>11</v>
      </c>
      <c r="U11" s="74">
        <f t="shared" si="3"/>
        <v>0.7781818181818182</v>
      </c>
      <c r="V11" s="73">
        <f>IF(Variable_Management!$B$20=3,2,IF((S11*R11/T11)&lt;((T11*(1-(T11/R11)))/(2*Lm*Fsw)),1,2))</f>
        <v>2</v>
      </c>
      <c r="W11" s="71">
        <f t="shared" si="13"/>
        <v>0.79439252336448596</v>
      </c>
      <c r="X11" s="74">
        <f t="shared" si="4"/>
        <v>0.20560747663551404</v>
      </c>
      <c r="Y11" s="73">
        <f t="shared" si="5"/>
        <v>5.8255451713395638</v>
      </c>
      <c r="Z11" s="71">
        <f t="shared" si="14"/>
        <v>3.6909544038516002</v>
      </c>
      <c r="AA11" s="71">
        <f t="shared" si="15"/>
        <v>1.8530106099962216</v>
      </c>
      <c r="AB11" s="71">
        <v>0</v>
      </c>
      <c r="AC11" s="71">
        <f t="shared" si="6"/>
        <v>7.8973911377447099E-3</v>
      </c>
      <c r="AD11" s="74">
        <f t="shared" si="16"/>
        <v>7.8973911377447099E-3</v>
      </c>
      <c r="AE11" s="73">
        <f t="shared" si="29"/>
        <v>0.61818181818181817</v>
      </c>
      <c r="AF11" s="71">
        <f t="shared" si="17"/>
        <v>1.6515642748236086</v>
      </c>
      <c r="AG11" s="71">
        <f t="shared" si="7"/>
        <v>1.0910658215494529E-2</v>
      </c>
      <c r="AH11" s="71">
        <f t="shared" si="18"/>
        <v>0.22098917118327202</v>
      </c>
      <c r="AI11" s="74">
        <f t="shared" si="19"/>
        <v>0.23189982939876655</v>
      </c>
      <c r="AJ11" s="73">
        <f t="shared" si="20"/>
        <v>0.16000000000000003</v>
      </c>
      <c r="AK11" s="71">
        <f t="shared" si="21"/>
        <v>0.84022840161764345</v>
      </c>
      <c r="AL11" s="71">
        <f t="shared" si="8"/>
        <v>2.8239350675397599E-3</v>
      </c>
      <c r="AM11" s="71">
        <f t="shared" si="22"/>
        <v>0</v>
      </c>
      <c r="AN11" s="188">
        <f t="shared" si="23"/>
        <v>4.4291452846219201E-2</v>
      </c>
      <c r="AO11" s="74">
        <f t="shared" si="24"/>
        <v>4.7115387913758959E-2</v>
      </c>
      <c r="AP11" s="73">
        <f t="shared" si="25"/>
        <v>5.1504724811378541E-3</v>
      </c>
      <c r="AQ11" s="206">
        <f t="shared" si="9"/>
        <v>7.8973911377447099E-3</v>
      </c>
      <c r="AR11" s="206">
        <f t="shared" si="10"/>
        <v>3.0218089420955812</v>
      </c>
      <c r="AS11" s="71">
        <f t="shared" si="11"/>
        <v>0.12000000000000001</v>
      </c>
      <c r="AT11" s="74">
        <f t="shared" si="12"/>
        <v>3.6299999999999995E-5</v>
      </c>
      <c r="AU11" s="73">
        <f t="shared" si="26"/>
        <v>3.441805714164734</v>
      </c>
      <c r="AV11" s="71">
        <f t="shared" si="27"/>
        <v>8.56</v>
      </c>
      <c r="AW11" s="74">
        <f t="shared" si="28"/>
        <v>71.322600980761948</v>
      </c>
    </row>
    <row r="12" spans="1:49" x14ac:dyDescent="0.25">
      <c r="N12" s="71" t="s">
        <v>269</v>
      </c>
      <c r="O12" s="71">
        <f>IOUT/(O11)</f>
        <v>0.04</v>
      </c>
      <c r="Q12">
        <v>5</v>
      </c>
      <c r="R12" s="73">
        <f t="shared" si="0"/>
        <v>53.5</v>
      </c>
      <c r="S12" s="71">
        <f t="shared" si="1"/>
        <v>0.2</v>
      </c>
      <c r="T12" s="71">
        <f t="shared" si="2"/>
        <v>11</v>
      </c>
      <c r="U12" s="74">
        <f t="shared" si="3"/>
        <v>0.97272727272727277</v>
      </c>
      <c r="V12" s="73">
        <f>IF(Variable_Management!$B$20=3,2,IF((S12*R12/T12)&lt;((T12*(1-(T12/R12)))/(2*Lm*Fsw)),1,2))</f>
        <v>2</v>
      </c>
      <c r="W12" s="71">
        <f t="shared" si="13"/>
        <v>0.79439252336448596</v>
      </c>
      <c r="X12" s="74">
        <f t="shared" si="4"/>
        <v>0.20560747663551404</v>
      </c>
      <c r="Y12" s="73">
        <f t="shared" si="5"/>
        <v>5.8255451713395638</v>
      </c>
      <c r="Z12" s="71">
        <f t="shared" si="14"/>
        <v>3.8854998583970546</v>
      </c>
      <c r="AA12" s="71">
        <f t="shared" si="15"/>
        <v>1.9427505567409438</v>
      </c>
      <c r="AB12" s="71">
        <v>0</v>
      </c>
      <c r="AC12" s="71">
        <f t="shared" si="6"/>
        <v>8.680843369149668E-3</v>
      </c>
      <c r="AD12" s="74">
        <f t="shared" si="16"/>
        <v>8.680843369149668E-3</v>
      </c>
      <c r="AE12" s="73">
        <f t="shared" si="29"/>
        <v>0.77272727272727271</v>
      </c>
      <c r="AF12" s="71">
        <f t="shared" si="17"/>
        <v>1.7315483230900439</v>
      </c>
      <c r="AG12" s="71">
        <f t="shared" si="7"/>
        <v>1.1993038380783774E-2</v>
      </c>
      <c r="AH12" s="71">
        <f t="shared" si="18"/>
        <v>0.27623646397909002</v>
      </c>
      <c r="AI12" s="74">
        <f t="shared" si="19"/>
        <v>0.28822950235987377</v>
      </c>
      <c r="AJ12" s="73">
        <f t="shared" si="20"/>
        <v>0.20000000000000004</v>
      </c>
      <c r="AK12" s="71">
        <f t="shared" si="21"/>
        <v>0.88092004774627708</v>
      </c>
      <c r="AL12" s="71">
        <f t="shared" si="8"/>
        <v>3.1040805220852127E-3</v>
      </c>
      <c r="AM12" s="71">
        <f t="shared" si="22"/>
        <v>0</v>
      </c>
      <c r="AN12" s="188">
        <f t="shared" si="23"/>
        <v>4.6625998300764658E-2</v>
      </c>
      <c r="AO12" s="74">
        <f t="shared" si="24"/>
        <v>4.9730078822849869E-2</v>
      </c>
      <c r="AP12" s="73">
        <f t="shared" si="25"/>
        <v>5.6614195885758712E-3</v>
      </c>
      <c r="AQ12" s="206">
        <f t="shared" si="9"/>
        <v>8.680843369149668E-3</v>
      </c>
      <c r="AR12" s="206">
        <f t="shared" si="10"/>
        <v>3.0218089420955812</v>
      </c>
      <c r="AS12" s="71">
        <f t="shared" si="11"/>
        <v>0.12000000000000001</v>
      </c>
      <c r="AT12" s="74">
        <f t="shared" si="12"/>
        <v>3.6299999999999995E-5</v>
      </c>
      <c r="AU12" s="73">
        <f t="shared" si="26"/>
        <v>3.5028279296051799</v>
      </c>
      <c r="AV12" s="71">
        <f t="shared" si="27"/>
        <v>10.700000000000001</v>
      </c>
      <c r="AW12" s="74">
        <f t="shared" si="28"/>
        <v>75.337109292835365</v>
      </c>
    </row>
    <row r="13" spans="1:49" x14ac:dyDescent="0.25">
      <c r="Q13">
        <v>6</v>
      </c>
      <c r="R13" s="73">
        <f t="shared" si="0"/>
        <v>53.5</v>
      </c>
      <c r="S13" s="71">
        <f t="shared" si="1"/>
        <v>0.24</v>
      </c>
      <c r="T13" s="71">
        <f t="shared" si="2"/>
        <v>11</v>
      </c>
      <c r="U13" s="74">
        <f t="shared" si="3"/>
        <v>1.1672727272727272</v>
      </c>
      <c r="V13" s="73">
        <f>IF(Variable_Management!$B$20=3,2,IF((S13*R13/T13)&lt;((T13*(1-(T13/R13)))/(2*Lm*Fsw)),1,2))</f>
        <v>2</v>
      </c>
      <c r="W13" s="71">
        <f t="shared" si="13"/>
        <v>0.79439252336448596</v>
      </c>
      <c r="X13" s="74">
        <f t="shared" si="4"/>
        <v>0.20560747663551404</v>
      </c>
      <c r="Y13" s="73">
        <f t="shared" si="5"/>
        <v>5.8255451713395638</v>
      </c>
      <c r="Z13" s="71">
        <f t="shared" si="14"/>
        <v>4.0800453129425094</v>
      </c>
      <c r="AA13" s="71">
        <f t="shared" si="15"/>
        <v>2.04709721274895</v>
      </c>
      <c r="AB13" s="71">
        <v>0</v>
      </c>
      <c r="AC13" s="71">
        <f t="shared" si="6"/>
        <v>9.6383960964223948E-3</v>
      </c>
      <c r="AD13" s="74">
        <f t="shared" si="16"/>
        <v>9.6383960964223948E-3</v>
      </c>
      <c r="AE13" s="73">
        <f t="shared" si="29"/>
        <v>0.92727272727272725</v>
      </c>
      <c r="AF13" s="71">
        <f t="shared" si="17"/>
        <v>1.8245511414929469</v>
      </c>
      <c r="AG13" s="71">
        <f t="shared" si="7"/>
        <v>1.3315947471692862E-2</v>
      </c>
      <c r="AH13" s="71">
        <f t="shared" si="18"/>
        <v>0.33148375677490799</v>
      </c>
      <c r="AI13" s="74">
        <f t="shared" si="19"/>
        <v>0.34479970424660084</v>
      </c>
      <c r="AJ13" s="73">
        <f t="shared" si="20"/>
        <v>0.24000000000000002</v>
      </c>
      <c r="AK13" s="71">
        <f t="shared" si="21"/>
        <v>0.92823495437378523</v>
      </c>
      <c r="AL13" s="71">
        <f t="shared" si="8"/>
        <v>3.4464805220852128E-3</v>
      </c>
      <c r="AM13" s="71">
        <f t="shared" si="22"/>
        <v>0</v>
      </c>
      <c r="AN13" s="188">
        <f t="shared" si="23"/>
        <v>4.8960543755310115E-2</v>
      </c>
      <c r="AO13" s="74">
        <f t="shared" si="24"/>
        <v>5.2407024277395325E-2</v>
      </c>
      <c r="AP13" s="73">
        <f t="shared" si="25"/>
        <v>6.2859104976667798E-3</v>
      </c>
      <c r="AQ13" s="206">
        <f t="shared" si="9"/>
        <v>9.6383960964223948E-3</v>
      </c>
      <c r="AR13" s="206">
        <f t="shared" si="10"/>
        <v>3.0218089420955812</v>
      </c>
      <c r="AS13" s="71">
        <f t="shared" si="11"/>
        <v>0.12000000000000001</v>
      </c>
      <c r="AT13" s="74">
        <f t="shared" si="12"/>
        <v>3.6299999999999995E-5</v>
      </c>
      <c r="AU13" s="73">
        <f t="shared" si="26"/>
        <v>3.5646146733100887</v>
      </c>
      <c r="AV13" s="71">
        <f t="shared" si="27"/>
        <v>12.84</v>
      </c>
      <c r="AW13" s="74">
        <f t="shared" si="28"/>
        <v>78.270658931662496</v>
      </c>
    </row>
    <row r="14" spans="1:49" x14ac:dyDescent="0.25">
      <c r="Q14">
        <v>7</v>
      </c>
      <c r="R14" s="73">
        <f t="shared" si="0"/>
        <v>53.5</v>
      </c>
      <c r="S14" s="71">
        <f t="shared" si="1"/>
        <v>0.28000000000000003</v>
      </c>
      <c r="T14" s="71">
        <f t="shared" si="2"/>
        <v>11</v>
      </c>
      <c r="U14" s="74">
        <f t="shared" si="3"/>
        <v>1.361818181818182</v>
      </c>
      <c r="V14" s="73">
        <f>IF(Variable_Management!$B$20=3,2,IF((S14*R14/T14)&lt;((T14*(1-(T14/R14)))/(2*Lm*Fsw)),1,2))</f>
        <v>2</v>
      </c>
      <c r="W14" s="71">
        <f t="shared" si="13"/>
        <v>0.79439252336448596</v>
      </c>
      <c r="X14" s="74">
        <f t="shared" si="4"/>
        <v>0.20560747663551404</v>
      </c>
      <c r="Y14" s="73">
        <f t="shared" si="5"/>
        <v>5.8255451713395638</v>
      </c>
      <c r="Z14" s="71">
        <f t="shared" si="14"/>
        <v>4.2745907674879637</v>
      </c>
      <c r="AA14" s="71">
        <f t="shared" si="15"/>
        <v>2.1639385709720105</v>
      </c>
      <c r="AB14" s="71">
        <v>0</v>
      </c>
      <c r="AC14" s="71">
        <f t="shared" si="6"/>
        <v>1.077004931956289E-2</v>
      </c>
      <c r="AD14" s="74">
        <f t="shared" si="16"/>
        <v>1.077004931956289E-2</v>
      </c>
      <c r="AE14" s="73">
        <f t="shared" si="29"/>
        <v>1.081818181818182</v>
      </c>
      <c r="AF14" s="71">
        <f t="shared" si="17"/>
        <v>1.9286903255980339</v>
      </c>
      <c r="AG14" s="71">
        <f t="shared" si="7"/>
        <v>1.48793854882218E-2</v>
      </c>
      <c r="AH14" s="71">
        <f t="shared" si="18"/>
        <v>0.38673104957072613</v>
      </c>
      <c r="AI14" s="74">
        <f t="shared" si="19"/>
        <v>0.40161043505894795</v>
      </c>
      <c r="AJ14" s="73">
        <f t="shared" si="20"/>
        <v>0.28000000000000008</v>
      </c>
      <c r="AK14" s="71">
        <f t="shared" si="21"/>
        <v>0.98121545385554343</v>
      </c>
      <c r="AL14" s="71">
        <f t="shared" si="8"/>
        <v>3.8511350675397601E-3</v>
      </c>
      <c r="AM14" s="71">
        <f t="shared" si="22"/>
        <v>0</v>
      </c>
      <c r="AN14" s="188">
        <f t="shared" si="23"/>
        <v>5.1295089209855566E-2</v>
      </c>
      <c r="AO14" s="74">
        <f t="shared" si="24"/>
        <v>5.5146224277395323E-2</v>
      </c>
      <c r="AP14" s="73">
        <f t="shared" si="25"/>
        <v>7.0239452084105806E-3</v>
      </c>
      <c r="AQ14" s="206">
        <f t="shared" si="9"/>
        <v>1.077004931956289E-2</v>
      </c>
      <c r="AR14" s="206">
        <f t="shared" si="10"/>
        <v>3.0218089420955812</v>
      </c>
      <c r="AS14" s="71">
        <f t="shared" si="11"/>
        <v>0.12000000000000001</v>
      </c>
      <c r="AT14" s="74">
        <f t="shared" si="12"/>
        <v>3.6299999999999995E-5</v>
      </c>
      <c r="AU14" s="73">
        <f t="shared" si="26"/>
        <v>3.6271659452794607</v>
      </c>
      <c r="AV14" s="71">
        <f t="shared" si="27"/>
        <v>14.980000000000002</v>
      </c>
      <c r="AW14" s="74">
        <f t="shared" si="28"/>
        <v>80.506617955972743</v>
      </c>
    </row>
    <row r="15" spans="1:49" x14ac:dyDescent="0.25">
      <c r="O15">
        <f>0.205*2.5/(Lm*Fsw)</f>
        <v>0.34166666666666662</v>
      </c>
      <c r="Q15">
        <v>8</v>
      </c>
      <c r="R15" s="73">
        <f t="shared" si="0"/>
        <v>53.5</v>
      </c>
      <c r="S15" s="71">
        <f t="shared" si="1"/>
        <v>0.32</v>
      </c>
      <c r="T15" s="71">
        <f t="shared" si="2"/>
        <v>11</v>
      </c>
      <c r="U15" s="74">
        <f t="shared" si="3"/>
        <v>1.5563636363636364</v>
      </c>
      <c r="V15" s="73">
        <f>IF(Variable_Management!$B$20=3,2,IF((S15*R15/T15)&lt;((T15*(1-(T15/R15)))/(2*Lm*Fsw)),1,2))</f>
        <v>2</v>
      </c>
      <c r="W15" s="71">
        <f t="shared" si="13"/>
        <v>0.79439252336448596</v>
      </c>
      <c r="X15" s="74">
        <f t="shared" si="4"/>
        <v>0.20560747663551404</v>
      </c>
      <c r="Y15" s="73">
        <f t="shared" si="5"/>
        <v>5.8255451713395638</v>
      </c>
      <c r="Z15" s="71">
        <f t="shared" si="14"/>
        <v>4.4691362220334181</v>
      </c>
      <c r="AA15" s="71">
        <f t="shared" si="15"/>
        <v>2.2913640363776442</v>
      </c>
      <c r="AB15" s="71">
        <v>0</v>
      </c>
      <c r="AC15" s="71">
        <f t="shared" si="6"/>
        <v>1.2075803038571154E-2</v>
      </c>
      <c r="AD15" s="74">
        <f t="shared" si="16"/>
        <v>1.2075803038571154E-2</v>
      </c>
      <c r="AE15" s="73">
        <f t="shared" si="29"/>
        <v>1.2363636363636363</v>
      </c>
      <c r="AF15" s="71">
        <f t="shared" si="17"/>
        <v>2.0422629868830895</v>
      </c>
      <c r="AG15" s="71">
        <f t="shared" si="7"/>
        <v>1.668335243037055E-2</v>
      </c>
      <c r="AH15" s="71">
        <f t="shared" si="18"/>
        <v>0.44197834236654404</v>
      </c>
      <c r="AI15" s="74">
        <f t="shared" si="19"/>
        <v>0.4586616947969146</v>
      </c>
      <c r="AJ15" s="73">
        <f t="shared" si="20"/>
        <v>0.32000000000000006</v>
      </c>
      <c r="AK15" s="71">
        <f t="shared" si="21"/>
        <v>1.0389952067320678</v>
      </c>
      <c r="AL15" s="71">
        <f t="shared" si="8"/>
        <v>4.3180441584488496E-3</v>
      </c>
      <c r="AM15" s="71">
        <f t="shared" si="22"/>
        <v>0</v>
      </c>
      <c r="AN15" s="188">
        <f t="shared" si="23"/>
        <v>5.3629634664401016E-2</v>
      </c>
      <c r="AO15" s="74">
        <f t="shared" si="24"/>
        <v>5.7947678822849867E-2</v>
      </c>
      <c r="AP15" s="73">
        <f t="shared" si="25"/>
        <v>7.8755237208072756E-3</v>
      </c>
      <c r="AQ15" s="206">
        <f t="shared" si="9"/>
        <v>1.2075803038571154E-2</v>
      </c>
      <c r="AR15" s="206">
        <f t="shared" si="10"/>
        <v>3.0218089420955812</v>
      </c>
      <c r="AS15" s="71">
        <f t="shared" si="11"/>
        <v>0.12000000000000001</v>
      </c>
      <c r="AT15" s="74">
        <f t="shared" si="12"/>
        <v>3.6299999999999995E-5</v>
      </c>
      <c r="AU15" s="73">
        <f t="shared" si="26"/>
        <v>3.6904817455132952</v>
      </c>
      <c r="AV15" s="71">
        <f t="shared" si="27"/>
        <v>17.12</v>
      </c>
      <c r="AW15" s="74">
        <f t="shared" si="28"/>
        <v>82.266235877461341</v>
      </c>
    </row>
    <row r="16" spans="1:49" x14ac:dyDescent="0.25">
      <c r="Q16">
        <v>9</v>
      </c>
      <c r="R16" s="73">
        <f t="shared" si="0"/>
        <v>53.5</v>
      </c>
      <c r="S16" s="71">
        <f t="shared" si="1"/>
        <v>0.36</v>
      </c>
      <c r="T16" s="71">
        <f t="shared" si="2"/>
        <v>11</v>
      </c>
      <c r="U16" s="74">
        <f t="shared" si="3"/>
        <v>1.7509090909090907</v>
      </c>
      <c r="V16" s="73">
        <f>IF(Variable_Management!$B$20=3,2,IF((S16*R16/T16)&lt;((T16*(1-(T16/R16)))/(2*Lm*Fsw)),1,2))</f>
        <v>2</v>
      </c>
      <c r="W16" s="71">
        <f t="shared" si="13"/>
        <v>0.79439252336448596</v>
      </c>
      <c r="X16" s="74">
        <f t="shared" si="4"/>
        <v>0.20560747663551404</v>
      </c>
      <c r="Y16" s="73">
        <f t="shared" si="5"/>
        <v>5.8255451713395638</v>
      </c>
      <c r="Z16" s="71">
        <f t="shared" ref="Z16:Z79" si="30">CHOOSE(V16,Y16,U16+(0.5*Y16))</f>
        <v>4.6636816765788724</v>
      </c>
      <c r="AA16" s="71">
        <f t="shared" ref="AA16:AA79" si="31">CHOOSE(V16,Z16*SQRT((W16+X16)/3),SQRT((U16^2)+((Y16^2)/12)))</f>
        <v>2.4277075654283213</v>
      </c>
      <c r="AB16" s="71">
        <v>0</v>
      </c>
      <c r="AC16" s="71">
        <f t="shared" si="6"/>
        <v>1.3555657253447186E-2</v>
      </c>
      <c r="AD16" s="74">
        <f t="shared" si="16"/>
        <v>1.3555657253447186E-2</v>
      </c>
      <c r="AE16" s="73">
        <f t="shared" si="29"/>
        <v>1.3909090909090907</v>
      </c>
      <c r="AF16" s="71">
        <f t="shared" si="17"/>
        <v>2.163784202395143</v>
      </c>
      <c r="AG16" s="71">
        <f t="shared" si="7"/>
        <v>1.872784829813914E-2</v>
      </c>
      <c r="AH16" s="71">
        <f t="shared" si="18"/>
        <v>0.49722563516236201</v>
      </c>
      <c r="AI16" s="74">
        <f t="shared" si="19"/>
        <v>0.51595348346050118</v>
      </c>
      <c r="AJ16" s="73">
        <f t="shared" si="20"/>
        <v>0.36</v>
      </c>
      <c r="AK16" s="71">
        <f t="shared" si="21"/>
        <v>1.100818762877487</v>
      </c>
      <c r="AL16" s="71">
        <f t="shared" si="8"/>
        <v>4.8472077948124841E-3</v>
      </c>
      <c r="AM16" s="71">
        <f t="shared" si="22"/>
        <v>0</v>
      </c>
      <c r="AN16" s="188">
        <f t="shared" si="23"/>
        <v>5.5964180118946473E-2</v>
      </c>
      <c r="AO16" s="74">
        <f t="shared" si="24"/>
        <v>6.0811387913758959E-2</v>
      </c>
      <c r="AP16" s="73">
        <f t="shared" si="25"/>
        <v>8.8406460348568611E-3</v>
      </c>
      <c r="AQ16" s="206">
        <f t="shared" si="9"/>
        <v>1.3555657253447186E-2</v>
      </c>
      <c r="AR16" s="206">
        <f t="shared" si="10"/>
        <v>3.0218089420955812</v>
      </c>
      <c r="AS16" s="71">
        <f t="shared" si="11"/>
        <v>0.12000000000000001</v>
      </c>
      <c r="AT16" s="74">
        <f t="shared" si="12"/>
        <v>3.6299999999999995E-5</v>
      </c>
      <c r="AU16" s="73">
        <f t="shared" si="26"/>
        <v>3.7545620740115924</v>
      </c>
      <c r="AV16" s="71">
        <f t="shared" si="27"/>
        <v>19.259999999999998</v>
      </c>
      <c r="AW16" s="74">
        <f t="shared" si="28"/>
        <v>83.686145919538035</v>
      </c>
    </row>
    <row r="17" spans="17:49" x14ac:dyDescent="0.25">
      <c r="Q17">
        <v>10</v>
      </c>
      <c r="R17" s="73">
        <f t="shared" si="0"/>
        <v>53.5</v>
      </c>
      <c r="S17" s="71">
        <f t="shared" si="1"/>
        <v>0.4</v>
      </c>
      <c r="T17" s="71">
        <f t="shared" si="2"/>
        <v>11</v>
      </c>
      <c r="U17" s="74">
        <f t="shared" si="3"/>
        <v>1.9454545454545455</v>
      </c>
      <c r="V17" s="73">
        <f>IF(Variable_Management!$B$20=3,2,IF((S17*R17/T17)&lt;((T17*(1-(T17/R17)))/(2*Lm*Fsw)),1,2))</f>
        <v>2</v>
      </c>
      <c r="W17" s="71">
        <f t="shared" si="13"/>
        <v>0.79439252336448596</v>
      </c>
      <c r="X17" s="74">
        <f t="shared" si="4"/>
        <v>0.20560747663551404</v>
      </c>
      <c r="Y17" s="73">
        <f t="shared" si="5"/>
        <v>5.8255451713395638</v>
      </c>
      <c r="Z17" s="71">
        <f t="shared" si="30"/>
        <v>4.8582271311243277</v>
      </c>
      <c r="AA17" s="71">
        <f t="shared" si="31"/>
        <v>2.5715510430554476</v>
      </c>
      <c r="AB17" s="71">
        <v>0</v>
      </c>
      <c r="AC17" s="71">
        <f t="shared" si="6"/>
        <v>1.5209611964190989E-2</v>
      </c>
      <c r="AD17" s="74">
        <f t="shared" si="16"/>
        <v>1.5209611964190989E-2</v>
      </c>
      <c r="AE17" s="73">
        <f t="shared" si="29"/>
        <v>1.5454545454545454</v>
      </c>
      <c r="AF17" s="71">
        <f t="shared" si="17"/>
        <v>2.291990024603487</v>
      </c>
      <c r="AG17" s="71">
        <f t="shared" si="7"/>
        <v>2.1012873091527572E-2</v>
      </c>
      <c r="AH17" s="71">
        <f t="shared" si="18"/>
        <v>0.55247292795818004</v>
      </c>
      <c r="AI17" s="74">
        <f t="shared" si="19"/>
        <v>0.57348580104970759</v>
      </c>
      <c r="AJ17" s="73">
        <f t="shared" si="20"/>
        <v>0.40000000000000008</v>
      </c>
      <c r="AK17" s="71">
        <f t="shared" si="21"/>
        <v>1.1660430927532939</v>
      </c>
      <c r="AL17" s="71">
        <f t="shared" si="8"/>
        <v>5.4386259766306668E-3</v>
      </c>
      <c r="AM17" s="71">
        <f t="shared" si="22"/>
        <v>0</v>
      </c>
      <c r="AN17" s="188">
        <f t="shared" si="23"/>
        <v>5.829872557349193E-2</v>
      </c>
      <c r="AO17" s="74">
        <f t="shared" si="24"/>
        <v>6.3737351550122598E-2</v>
      </c>
      <c r="AP17" s="73">
        <f t="shared" si="25"/>
        <v>9.9193121505593406E-3</v>
      </c>
      <c r="AQ17" s="206">
        <f t="shared" si="9"/>
        <v>1.5209611964190989E-2</v>
      </c>
      <c r="AR17" s="206">
        <f t="shared" si="10"/>
        <v>3.0218089420955812</v>
      </c>
      <c r="AS17" s="71">
        <f t="shared" si="11"/>
        <v>0.12000000000000001</v>
      </c>
      <c r="AT17" s="74">
        <f t="shared" si="12"/>
        <v>3.6299999999999995E-5</v>
      </c>
      <c r="AU17" s="73">
        <f t="shared" si="26"/>
        <v>3.8194069307743526</v>
      </c>
      <c r="AV17" s="71">
        <f t="shared" si="27"/>
        <v>21.400000000000002</v>
      </c>
      <c r="AW17" s="74">
        <f t="shared" si="28"/>
        <v>84.855286481326146</v>
      </c>
    </row>
    <row r="18" spans="17:49" x14ac:dyDescent="0.25">
      <c r="Q18">
        <v>11</v>
      </c>
      <c r="R18" s="73">
        <f t="shared" si="0"/>
        <v>53.5</v>
      </c>
      <c r="S18" s="71">
        <f t="shared" si="1"/>
        <v>0.44</v>
      </c>
      <c r="T18" s="71">
        <f t="shared" si="2"/>
        <v>11</v>
      </c>
      <c r="U18" s="74">
        <f t="shared" si="3"/>
        <v>2.14</v>
      </c>
      <c r="V18" s="73">
        <f>IF(Variable_Management!$B$20=3,2,IF((S18*R18/T18)&lt;((T18*(1-(T18/R18)))/(2*Lm*Fsw)),1,2))</f>
        <v>2</v>
      </c>
      <c r="W18" s="71">
        <f t="shared" si="13"/>
        <v>0.79439252336448596</v>
      </c>
      <c r="X18" s="74">
        <f t="shared" si="4"/>
        <v>0.20560747663551404</v>
      </c>
      <c r="Y18" s="73">
        <f t="shared" si="5"/>
        <v>5.8255451713395638</v>
      </c>
      <c r="Z18" s="71">
        <f t="shared" si="30"/>
        <v>5.052772585669782</v>
      </c>
      <c r="AA18" s="71">
        <f t="shared" si="31"/>
        <v>2.721705601017459</v>
      </c>
      <c r="AB18" s="71">
        <v>0</v>
      </c>
      <c r="AC18" s="71">
        <f t="shared" si="6"/>
        <v>1.7037667170802559E-2</v>
      </c>
      <c r="AD18" s="74">
        <f t="shared" si="16"/>
        <v>1.7037667170802559E-2</v>
      </c>
      <c r="AE18" s="73">
        <f t="shared" si="29"/>
        <v>1.7</v>
      </c>
      <c r="AF18" s="71">
        <f t="shared" si="17"/>
        <v>2.4258208306950375</v>
      </c>
      <c r="AG18" s="71">
        <f t="shared" si="7"/>
        <v>2.3538426810535848E-2</v>
      </c>
      <c r="AH18" s="71">
        <f t="shared" si="18"/>
        <v>0.60772022075399812</v>
      </c>
      <c r="AI18" s="74">
        <f t="shared" si="19"/>
        <v>0.63125864756453398</v>
      </c>
      <c r="AJ18" s="73">
        <f t="shared" si="20"/>
        <v>0.44000000000000006</v>
      </c>
      <c r="AK18" s="71">
        <f t="shared" si="21"/>
        <v>1.2341291164119941</v>
      </c>
      <c r="AL18" s="71">
        <f t="shared" si="8"/>
        <v>6.0922987039033977E-3</v>
      </c>
      <c r="AM18" s="71">
        <f t="shared" si="22"/>
        <v>0</v>
      </c>
      <c r="AN18" s="188">
        <f t="shared" si="23"/>
        <v>6.0633271028037387E-2</v>
      </c>
      <c r="AO18" s="74">
        <f t="shared" si="24"/>
        <v>6.6725569731940784E-2</v>
      </c>
      <c r="AP18" s="73">
        <f t="shared" si="25"/>
        <v>1.1111522067914712E-2</v>
      </c>
      <c r="AQ18" s="206">
        <f t="shared" si="9"/>
        <v>1.7037667170802559E-2</v>
      </c>
      <c r="AR18" s="206">
        <f t="shared" si="10"/>
        <v>3.0218089420955812</v>
      </c>
      <c r="AS18" s="71">
        <f t="shared" si="11"/>
        <v>0.12000000000000001</v>
      </c>
      <c r="AT18" s="74">
        <f t="shared" si="12"/>
        <v>3.6299999999999995E-5</v>
      </c>
      <c r="AU18" s="73">
        <f t="shared" si="26"/>
        <v>3.8850163158015758</v>
      </c>
      <c r="AV18" s="71">
        <f t="shared" si="27"/>
        <v>23.54</v>
      </c>
      <c r="AW18" s="74">
        <f t="shared" si="28"/>
        <v>85.834041916091294</v>
      </c>
    </row>
    <row r="19" spans="17:49" x14ac:dyDescent="0.25">
      <c r="Q19">
        <v>12</v>
      </c>
      <c r="R19" s="73">
        <f t="shared" si="0"/>
        <v>53.5</v>
      </c>
      <c r="S19" s="71">
        <f t="shared" si="1"/>
        <v>0.48</v>
      </c>
      <c r="T19" s="71">
        <f t="shared" si="2"/>
        <v>11</v>
      </c>
      <c r="U19" s="74">
        <f t="shared" si="3"/>
        <v>2.3345454545454545</v>
      </c>
      <c r="V19" s="73">
        <f>IF(Variable_Management!$B$20=3,2,IF((S19*R19/T19)&lt;((T19*(1-(T19/R19)))/(2*Lm*Fsw)),1,2))</f>
        <v>2</v>
      </c>
      <c r="W19" s="71">
        <f t="shared" si="13"/>
        <v>0.79439252336448596</v>
      </c>
      <c r="X19" s="74">
        <f t="shared" si="4"/>
        <v>0.20560747663551404</v>
      </c>
      <c r="Y19" s="73">
        <f t="shared" si="5"/>
        <v>5.8255451713395638</v>
      </c>
      <c r="Z19" s="71">
        <f t="shared" si="30"/>
        <v>5.2473180402152364</v>
      </c>
      <c r="AA19" s="71">
        <f t="shared" si="31"/>
        <v>2.87718332018463</v>
      </c>
      <c r="AB19" s="71">
        <v>0</v>
      </c>
      <c r="AC19" s="71">
        <f t="shared" si="6"/>
        <v>1.9039822873281896E-2</v>
      </c>
      <c r="AD19" s="74">
        <f t="shared" si="16"/>
        <v>1.9039822873281896E-2</v>
      </c>
      <c r="AE19" s="73">
        <f t="shared" si="29"/>
        <v>1.8545454545454545</v>
      </c>
      <c r="AF19" s="71">
        <f t="shared" si="17"/>
        <v>2.5643961011885401</v>
      </c>
      <c r="AG19" s="71">
        <f t="shared" si="7"/>
        <v>2.6304509455163941E-2</v>
      </c>
      <c r="AH19" s="71">
        <f t="shared" si="18"/>
        <v>0.66296751354981598</v>
      </c>
      <c r="AI19" s="74">
        <f t="shared" si="19"/>
        <v>0.68927202300497992</v>
      </c>
      <c r="AJ19" s="73">
        <f t="shared" si="20"/>
        <v>0.48000000000000004</v>
      </c>
      <c r="AK19" s="71">
        <f t="shared" si="21"/>
        <v>1.3046288721922672</v>
      </c>
      <c r="AL19" s="71">
        <f t="shared" si="8"/>
        <v>6.808225976630668E-3</v>
      </c>
      <c r="AM19" s="71">
        <f t="shared" si="22"/>
        <v>0</v>
      </c>
      <c r="AN19" s="188">
        <f t="shared" si="23"/>
        <v>6.2967816482582845E-2</v>
      </c>
      <c r="AO19" s="74">
        <f t="shared" si="24"/>
        <v>6.9776042459213511E-2</v>
      </c>
      <c r="AP19" s="73">
        <f t="shared" si="25"/>
        <v>1.2417275786922977E-2</v>
      </c>
      <c r="AQ19" s="206">
        <f t="shared" si="9"/>
        <v>1.9039822873281896E-2</v>
      </c>
      <c r="AR19" s="206">
        <f t="shared" si="10"/>
        <v>3.0218089420955812</v>
      </c>
      <c r="AS19" s="71">
        <f t="shared" si="11"/>
        <v>0.12000000000000001</v>
      </c>
      <c r="AT19" s="74">
        <f t="shared" si="12"/>
        <v>3.6299999999999995E-5</v>
      </c>
      <c r="AU19" s="73">
        <f t="shared" si="26"/>
        <v>3.9513902290932612</v>
      </c>
      <c r="AV19" s="71">
        <f t="shared" si="27"/>
        <v>25.68</v>
      </c>
      <c r="AW19" s="74">
        <f t="shared" si="28"/>
        <v>86.664850354494575</v>
      </c>
    </row>
    <row r="20" spans="17:49" x14ac:dyDescent="0.25">
      <c r="Q20">
        <v>13</v>
      </c>
      <c r="R20" s="73">
        <f t="shared" si="0"/>
        <v>53.5</v>
      </c>
      <c r="S20" s="71">
        <f t="shared" si="1"/>
        <v>0.52</v>
      </c>
      <c r="T20" s="71">
        <f t="shared" si="2"/>
        <v>11</v>
      </c>
      <c r="U20" s="74">
        <f t="shared" si="3"/>
        <v>2.5290909090909093</v>
      </c>
      <c r="V20" s="73">
        <f>IF(Variable_Management!$B$20=3,2,IF((S20*R20/T20)&lt;((T20*(1-(T20/R20)))/(2*Lm*Fsw)),1,2))</f>
        <v>2</v>
      </c>
      <c r="W20" s="71">
        <f t="shared" si="13"/>
        <v>0.79439252336448596</v>
      </c>
      <c r="X20" s="74">
        <f t="shared" si="4"/>
        <v>0.20560747663551404</v>
      </c>
      <c r="Y20" s="73">
        <f t="shared" si="5"/>
        <v>5.8255451713395638</v>
      </c>
      <c r="Z20" s="71">
        <f t="shared" si="30"/>
        <v>5.4418634947606908</v>
      </c>
      <c r="AA20" s="71">
        <f t="shared" si="31"/>
        <v>3.0371668056028946</v>
      </c>
      <c r="AB20" s="71">
        <v>0</v>
      </c>
      <c r="AC20" s="71">
        <f t="shared" si="6"/>
        <v>2.1216079071629011E-2</v>
      </c>
      <c r="AD20" s="74">
        <f t="shared" si="16"/>
        <v>2.1216079071629011E-2</v>
      </c>
      <c r="AE20" s="73">
        <f t="shared" si="29"/>
        <v>2.0090909090909093</v>
      </c>
      <c r="AF20" s="71">
        <f t="shared" si="17"/>
        <v>2.7069873025843627</v>
      </c>
      <c r="AG20" s="71">
        <f t="shared" si="7"/>
        <v>2.9311121025411859E-2</v>
      </c>
      <c r="AH20" s="71">
        <f t="shared" si="18"/>
        <v>0.71821480634563417</v>
      </c>
      <c r="AI20" s="74">
        <f t="shared" si="19"/>
        <v>0.74752592737104606</v>
      </c>
      <c r="AJ20" s="73">
        <f t="shared" si="20"/>
        <v>0.52000000000000013</v>
      </c>
      <c r="AK20" s="71">
        <f t="shared" si="21"/>
        <v>1.3771717208478833</v>
      </c>
      <c r="AL20" s="71">
        <f t="shared" si="8"/>
        <v>7.5864077948124813E-3</v>
      </c>
      <c r="AM20" s="71">
        <f t="shared" si="22"/>
        <v>0</v>
      </c>
      <c r="AN20" s="188">
        <f t="shared" si="23"/>
        <v>6.5302361937128295E-2</v>
      </c>
      <c r="AO20" s="74">
        <f t="shared" si="24"/>
        <v>7.2888769731940778E-2</v>
      </c>
      <c r="AP20" s="73">
        <f t="shared" si="25"/>
        <v>1.3836573307584138E-2</v>
      </c>
      <c r="AQ20" s="206">
        <f t="shared" si="9"/>
        <v>2.1216079071629011E-2</v>
      </c>
      <c r="AR20" s="206">
        <f t="shared" si="10"/>
        <v>3.0218089420955812</v>
      </c>
      <c r="AS20" s="71">
        <f t="shared" si="11"/>
        <v>0.12000000000000001</v>
      </c>
      <c r="AT20" s="74">
        <f t="shared" si="12"/>
        <v>3.6299999999999995E-5</v>
      </c>
      <c r="AU20" s="73">
        <f t="shared" si="26"/>
        <v>4.0185286706494106</v>
      </c>
      <c r="AV20" s="71">
        <f t="shared" si="27"/>
        <v>27.82</v>
      </c>
      <c r="AW20" s="74">
        <f t="shared" si="28"/>
        <v>87.378409623702495</v>
      </c>
    </row>
    <row r="21" spans="17:49" x14ac:dyDescent="0.25">
      <c r="Q21">
        <v>14</v>
      </c>
      <c r="R21" s="73">
        <f t="shared" si="0"/>
        <v>53.5</v>
      </c>
      <c r="S21" s="71">
        <f t="shared" si="1"/>
        <v>0.56000000000000005</v>
      </c>
      <c r="T21" s="71">
        <f t="shared" si="2"/>
        <v>11</v>
      </c>
      <c r="U21" s="74">
        <f t="shared" si="3"/>
        <v>2.7236363636363641</v>
      </c>
      <c r="V21" s="73">
        <f>IF(Variable_Management!$B$20=3,2,IF((S21*R21/T21)&lt;((T21*(1-(T21/R21)))/(2*Lm*Fsw)),1,2))</f>
        <v>2</v>
      </c>
      <c r="W21" s="71">
        <f t="shared" si="13"/>
        <v>0.79439252336448596</v>
      </c>
      <c r="X21" s="74">
        <f t="shared" si="4"/>
        <v>0.20560747663551404</v>
      </c>
      <c r="Y21" s="73">
        <f t="shared" si="5"/>
        <v>5.8255451713395638</v>
      </c>
      <c r="Z21" s="71">
        <f t="shared" si="30"/>
        <v>5.636408949306146</v>
      </c>
      <c r="AA21" s="71">
        <f t="shared" si="31"/>
        <v>3.2009805403863556</v>
      </c>
      <c r="AB21" s="71">
        <v>0</v>
      </c>
      <c r="AC21" s="71">
        <f t="shared" si="6"/>
        <v>2.3566435765843885E-2</v>
      </c>
      <c r="AD21" s="74">
        <f t="shared" si="16"/>
        <v>2.3566435765843885E-2</v>
      </c>
      <c r="AE21" s="73">
        <f t="shared" si="29"/>
        <v>2.163636363636364</v>
      </c>
      <c r="AF21" s="71">
        <f t="shared" si="17"/>
        <v>2.852992355461176</v>
      </c>
      <c r="AG21" s="71">
        <f t="shared" si="7"/>
        <v>3.2558261521279643E-2</v>
      </c>
      <c r="AH21" s="71">
        <f t="shared" si="18"/>
        <v>0.77346209914145225</v>
      </c>
      <c r="AI21" s="74">
        <f t="shared" si="19"/>
        <v>0.80602036066273186</v>
      </c>
      <c r="AJ21" s="73">
        <f t="shared" si="20"/>
        <v>0.56000000000000016</v>
      </c>
      <c r="AK21" s="71">
        <f t="shared" si="21"/>
        <v>1.4514513562679985</v>
      </c>
      <c r="AL21" s="71">
        <f t="shared" si="8"/>
        <v>8.4268441584488506E-3</v>
      </c>
      <c r="AM21" s="71">
        <f t="shared" si="22"/>
        <v>0</v>
      </c>
      <c r="AN21" s="188">
        <f t="shared" si="23"/>
        <v>6.7636907391673759E-2</v>
      </c>
      <c r="AO21" s="74">
        <f t="shared" si="24"/>
        <v>7.6063751550122613E-2</v>
      </c>
      <c r="AP21" s="73">
        <f t="shared" si="25"/>
        <v>1.5369414629898187E-2</v>
      </c>
      <c r="AQ21" s="206">
        <f t="shared" si="9"/>
        <v>2.3566435765843885E-2</v>
      </c>
      <c r="AR21" s="206">
        <f t="shared" si="10"/>
        <v>3.0218089420955812</v>
      </c>
      <c r="AS21" s="71">
        <f t="shared" si="11"/>
        <v>0.12000000000000001</v>
      </c>
      <c r="AT21" s="74">
        <f t="shared" si="12"/>
        <v>3.6299999999999995E-5</v>
      </c>
      <c r="AU21" s="73">
        <f t="shared" si="26"/>
        <v>4.0864316404700221</v>
      </c>
      <c r="AV21" s="71">
        <f t="shared" si="27"/>
        <v>29.960000000000004</v>
      </c>
      <c r="AW21" s="74">
        <f t="shared" si="28"/>
        <v>87.997474497114126</v>
      </c>
    </row>
    <row r="22" spans="17:49" x14ac:dyDescent="0.25">
      <c r="Q22">
        <v>15</v>
      </c>
      <c r="R22" s="73">
        <f t="shared" si="0"/>
        <v>53.5</v>
      </c>
      <c r="S22" s="71">
        <f t="shared" si="1"/>
        <v>0.6</v>
      </c>
      <c r="T22" s="71">
        <f t="shared" si="2"/>
        <v>11</v>
      </c>
      <c r="U22" s="74">
        <f t="shared" si="3"/>
        <v>2.9181818181818184</v>
      </c>
      <c r="V22" s="73">
        <f>IF(Variable_Management!$B$20=3,2,IF((S22*R22/T22)&lt;((T22*(1-(T22/R22)))/(2*Lm*Fsw)),1,2))</f>
        <v>2</v>
      </c>
      <c r="W22" s="71">
        <f t="shared" si="13"/>
        <v>0.79439252336448596</v>
      </c>
      <c r="X22" s="74">
        <f t="shared" si="4"/>
        <v>0.20560747663551404</v>
      </c>
      <c r="Y22" s="73">
        <f t="shared" si="5"/>
        <v>5.8255451713395638</v>
      </c>
      <c r="Z22" s="71">
        <f t="shared" si="30"/>
        <v>5.8309544038516004</v>
      </c>
      <c r="AA22" s="71">
        <f t="shared" si="31"/>
        <v>3.3680656915471161</v>
      </c>
      <c r="AB22" s="71">
        <v>0</v>
      </c>
      <c r="AC22" s="71">
        <f t="shared" si="6"/>
        <v>2.6090892955926533E-2</v>
      </c>
      <c r="AD22" s="74">
        <f t="shared" si="16"/>
        <v>2.6090892955926533E-2</v>
      </c>
      <c r="AE22" s="73">
        <f t="shared" si="29"/>
        <v>2.3181818181818183</v>
      </c>
      <c r="AF22" s="71">
        <f t="shared" si="17"/>
        <v>3.0019131792395015</v>
      </c>
      <c r="AG22" s="71">
        <f t="shared" si="7"/>
        <v>3.604593094276725E-2</v>
      </c>
      <c r="AH22" s="71">
        <f t="shared" si="18"/>
        <v>0.82870939193727011</v>
      </c>
      <c r="AI22" s="74">
        <f t="shared" si="19"/>
        <v>0.86475532288003731</v>
      </c>
      <c r="AJ22" s="73">
        <f t="shared" si="20"/>
        <v>0.60000000000000009</v>
      </c>
      <c r="AK22" s="71">
        <f t="shared" si="21"/>
        <v>1.5272143814425465</v>
      </c>
      <c r="AL22" s="71">
        <f t="shared" si="8"/>
        <v>9.3295350675397602E-3</v>
      </c>
      <c r="AM22" s="71">
        <f t="shared" si="22"/>
        <v>0</v>
      </c>
      <c r="AN22" s="188">
        <f t="shared" si="23"/>
        <v>6.9971452846219209E-2</v>
      </c>
      <c r="AO22" s="74">
        <f t="shared" si="24"/>
        <v>7.9300987913758975E-2</v>
      </c>
      <c r="AP22" s="73">
        <f t="shared" si="25"/>
        <v>1.7015799753865132E-2</v>
      </c>
      <c r="AQ22" s="206">
        <f t="shared" si="9"/>
        <v>2.6090892955926533E-2</v>
      </c>
      <c r="AR22" s="206">
        <f t="shared" si="10"/>
        <v>3.0218089420955812</v>
      </c>
      <c r="AS22" s="71">
        <f t="shared" si="11"/>
        <v>0.12000000000000001</v>
      </c>
      <c r="AT22" s="74">
        <f t="shared" si="12"/>
        <v>3.6299999999999995E-5</v>
      </c>
      <c r="AU22" s="73">
        <f t="shared" si="26"/>
        <v>4.1550991385550962</v>
      </c>
      <c r="AV22" s="71">
        <f t="shared" si="27"/>
        <v>32.1</v>
      </c>
      <c r="AW22" s="74">
        <f t="shared" si="28"/>
        <v>88.539269682657135</v>
      </c>
    </row>
    <row r="23" spans="17:49" x14ac:dyDescent="0.25">
      <c r="Q23">
        <v>16</v>
      </c>
      <c r="R23" s="73">
        <f t="shared" si="0"/>
        <v>53.5</v>
      </c>
      <c r="S23" s="71">
        <f t="shared" si="1"/>
        <v>0.64</v>
      </c>
      <c r="T23" s="71">
        <f t="shared" si="2"/>
        <v>11</v>
      </c>
      <c r="U23" s="74">
        <f t="shared" si="3"/>
        <v>3.1127272727272728</v>
      </c>
      <c r="V23" s="73">
        <f>IF(Variable_Management!$B$20=3,2,IF((S23*R23/T23)&lt;((T23*(1-(T23/R23)))/(2*Lm*Fsw)),1,2))</f>
        <v>2</v>
      </c>
      <c r="W23" s="71">
        <f t="shared" si="13"/>
        <v>0.79439252336448596</v>
      </c>
      <c r="X23" s="74">
        <f t="shared" si="4"/>
        <v>0.20560747663551404</v>
      </c>
      <c r="Y23" s="73">
        <f t="shared" si="5"/>
        <v>5.8255451713395638</v>
      </c>
      <c r="Z23" s="71">
        <f t="shared" si="30"/>
        <v>6.0254998583970547</v>
      </c>
      <c r="AA23" s="71">
        <f t="shared" si="31"/>
        <v>3.5379587975257678</v>
      </c>
      <c r="AB23" s="71">
        <v>0</v>
      </c>
      <c r="AC23" s="71">
        <f t="shared" si="6"/>
        <v>2.8789450641876949E-2</v>
      </c>
      <c r="AD23" s="74">
        <f t="shared" si="16"/>
        <v>2.8789450641876949E-2</v>
      </c>
      <c r="AE23" s="73">
        <f t="shared" si="29"/>
        <v>2.4727272727272727</v>
      </c>
      <c r="AF23" s="71">
        <f t="shared" si="17"/>
        <v>3.1533366966546201</v>
      </c>
      <c r="AG23" s="71">
        <f t="shared" si="7"/>
        <v>3.9774129289874685E-2</v>
      </c>
      <c r="AH23" s="71">
        <f t="shared" si="18"/>
        <v>0.88395668473308808</v>
      </c>
      <c r="AI23" s="74">
        <f t="shared" si="19"/>
        <v>0.92373081402296275</v>
      </c>
      <c r="AJ23" s="73">
        <f t="shared" si="20"/>
        <v>0.64000000000000012</v>
      </c>
      <c r="AK23" s="71">
        <f t="shared" si="21"/>
        <v>1.6042506445444564</v>
      </c>
      <c r="AL23" s="71">
        <f t="shared" si="8"/>
        <v>1.0294480522085217E-2</v>
      </c>
      <c r="AM23" s="71">
        <f t="shared" si="22"/>
        <v>0</v>
      </c>
      <c r="AN23" s="188">
        <f t="shared" si="23"/>
        <v>7.230599830076466E-2</v>
      </c>
      <c r="AO23" s="74">
        <f t="shared" si="24"/>
        <v>8.2600478822849877E-2</v>
      </c>
      <c r="AP23" s="73">
        <f t="shared" si="25"/>
        <v>1.8775728679484967E-2</v>
      </c>
      <c r="AQ23" s="206">
        <f t="shared" si="9"/>
        <v>2.8789450641876949E-2</v>
      </c>
      <c r="AR23" s="206">
        <f t="shared" si="10"/>
        <v>3.0218089420955812</v>
      </c>
      <c r="AS23" s="71">
        <f t="shared" si="11"/>
        <v>0.12000000000000001</v>
      </c>
      <c r="AT23" s="74">
        <f t="shared" si="12"/>
        <v>3.6299999999999995E-5</v>
      </c>
      <c r="AU23" s="73">
        <f t="shared" si="26"/>
        <v>4.2245311649046329</v>
      </c>
      <c r="AV23" s="71">
        <f t="shared" si="27"/>
        <v>34.24</v>
      </c>
      <c r="AW23" s="74">
        <f t="shared" si="28"/>
        <v>89.01707355591239</v>
      </c>
    </row>
    <row r="24" spans="17:49" x14ac:dyDescent="0.25">
      <c r="Q24">
        <v>17</v>
      </c>
      <c r="R24" s="73">
        <f t="shared" si="0"/>
        <v>53.5</v>
      </c>
      <c r="S24" s="71">
        <f t="shared" si="1"/>
        <v>0.68</v>
      </c>
      <c r="T24" s="71">
        <f t="shared" si="2"/>
        <v>11</v>
      </c>
      <c r="U24" s="74">
        <f t="shared" si="3"/>
        <v>3.3072727272727276</v>
      </c>
      <c r="V24" s="73">
        <f>IF(Variable_Management!$B$20=3,2,IF((S24*R24/T24)&lt;((T24*(1-(T24/R24)))/(2*Lm*Fsw)),1,2))</f>
        <v>2</v>
      </c>
      <c r="W24" s="71">
        <f t="shared" si="13"/>
        <v>0.79439252336448596</v>
      </c>
      <c r="X24" s="74">
        <f t="shared" si="4"/>
        <v>0.20560747663551404</v>
      </c>
      <c r="Y24" s="73">
        <f t="shared" si="5"/>
        <v>5.8255451713395638</v>
      </c>
      <c r="Z24" s="71">
        <f t="shared" si="30"/>
        <v>6.22004531294251</v>
      </c>
      <c r="AA24" s="71">
        <f t="shared" si="31"/>
        <v>3.7102741504061121</v>
      </c>
      <c r="AB24" s="71">
        <v>0</v>
      </c>
      <c r="AC24" s="71">
        <f t="shared" si="6"/>
        <v>3.1662108823695134E-2</v>
      </c>
      <c r="AD24" s="74">
        <f t="shared" si="16"/>
        <v>3.1662108823695134E-2</v>
      </c>
      <c r="AE24" s="73">
        <f t="shared" si="29"/>
        <v>2.6272727272727274</v>
      </c>
      <c r="AF24" s="71">
        <f t="shared" si="17"/>
        <v>3.306919131253514</v>
      </c>
      <c r="AG24" s="71">
        <f t="shared" si="7"/>
        <v>4.3742856562601989E-2</v>
      </c>
      <c r="AH24" s="71">
        <f t="shared" si="18"/>
        <v>0.93920397752890616</v>
      </c>
      <c r="AI24" s="74">
        <f t="shared" si="19"/>
        <v>0.98294683409150818</v>
      </c>
      <c r="AJ24" s="73">
        <f t="shared" si="20"/>
        <v>0.68000000000000016</v>
      </c>
      <c r="AK24" s="71">
        <f t="shared" si="21"/>
        <v>1.682385250328029</v>
      </c>
      <c r="AL24" s="71">
        <f t="shared" si="8"/>
        <v>1.1321680522085219E-2</v>
      </c>
      <c r="AM24" s="71">
        <f t="shared" si="22"/>
        <v>0</v>
      </c>
      <c r="AN24" s="188">
        <f t="shared" si="23"/>
        <v>7.4640543755310124E-2</v>
      </c>
      <c r="AO24" s="74">
        <f t="shared" si="24"/>
        <v>8.5962224277395347E-2</v>
      </c>
      <c r="AP24" s="73">
        <f t="shared" si="25"/>
        <v>2.0649201406757696E-2</v>
      </c>
      <c r="AQ24" s="206">
        <f t="shared" si="9"/>
        <v>3.1662108823695134E-2</v>
      </c>
      <c r="AR24" s="206">
        <f t="shared" si="10"/>
        <v>3.0218089420955812</v>
      </c>
      <c r="AS24" s="71">
        <f t="shared" si="11"/>
        <v>0.12000000000000001</v>
      </c>
      <c r="AT24" s="74">
        <f t="shared" si="12"/>
        <v>3.6299999999999995E-5</v>
      </c>
      <c r="AU24" s="73">
        <f t="shared" si="26"/>
        <v>4.2947277195186331</v>
      </c>
      <c r="AV24" s="71">
        <f t="shared" si="27"/>
        <v>36.380000000000003</v>
      </c>
      <c r="AW24" s="74">
        <f t="shared" si="28"/>
        <v>89.441287107970695</v>
      </c>
    </row>
    <row r="25" spans="17:49" x14ac:dyDescent="0.25">
      <c r="Q25">
        <v>18</v>
      </c>
      <c r="R25" s="73">
        <f t="shared" si="0"/>
        <v>53.5</v>
      </c>
      <c r="S25" s="71">
        <f t="shared" si="1"/>
        <v>0.72</v>
      </c>
      <c r="T25" s="71">
        <f t="shared" si="2"/>
        <v>11</v>
      </c>
      <c r="U25" s="74">
        <f t="shared" si="3"/>
        <v>3.5018181818181815</v>
      </c>
      <c r="V25" s="73">
        <f>IF(Variable_Management!$B$20=3,2,IF((S25*R25/T25)&lt;((T25*(1-(T25/R25)))/(2*Lm*Fsw)),1,2))</f>
        <v>2</v>
      </c>
      <c r="W25" s="71">
        <f t="shared" si="13"/>
        <v>0.79439252336448596</v>
      </c>
      <c r="X25" s="74">
        <f t="shared" si="4"/>
        <v>0.20560747663551404</v>
      </c>
      <c r="Y25" s="73">
        <f t="shared" si="5"/>
        <v>5.8255451713395638</v>
      </c>
      <c r="Z25" s="71">
        <f t="shared" si="30"/>
        <v>6.4145907674879634</v>
      </c>
      <c r="AA25" s="71">
        <f t="shared" si="31"/>
        <v>3.8846894286573548</v>
      </c>
      <c r="AB25" s="71">
        <v>0</v>
      </c>
      <c r="AC25" s="71">
        <f t="shared" si="6"/>
        <v>3.4708867501381073E-2</v>
      </c>
      <c r="AD25" s="74">
        <f t="shared" si="16"/>
        <v>3.4708867501381073E-2</v>
      </c>
      <c r="AE25" s="73">
        <f t="shared" si="29"/>
        <v>2.7818181818181813</v>
      </c>
      <c r="AF25" s="71">
        <f t="shared" si="17"/>
        <v>3.4623732020446987</v>
      </c>
      <c r="AG25" s="71">
        <f t="shared" si="7"/>
        <v>4.7952112760949045E-2</v>
      </c>
      <c r="AH25" s="71">
        <f t="shared" si="18"/>
        <v>0.99445127032472402</v>
      </c>
      <c r="AI25" s="74">
        <f t="shared" si="19"/>
        <v>1.0424033830856732</v>
      </c>
      <c r="AJ25" s="73">
        <f t="shared" si="20"/>
        <v>0.72</v>
      </c>
      <c r="AK25" s="71">
        <f t="shared" si="21"/>
        <v>1.7614720454452117</v>
      </c>
      <c r="AL25" s="71">
        <f t="shared" si="8"/>
        <v>1.2411135067539754E-2</v>
      </c>
      <c r="AM25" s="71">
        <f t="shared" si="22"/>
        <v>0</v>
      </c>
      <c r="AN25" s="188">
        <f t="shared" si="23"/>
        <v>7.697508920985556E-2</v>
      </c>
      <c r="AO25" s="74">
        <f t="shared" si="24"/>
        <v>8.9386224277395315E-2</v>
      </c>
      <c r="AP25" s="73">
        <f t="shared" si="25"/>
        <v>2.2636217935683309E-2</v>
      </c>
      <c r="AQ25" s="206">
        <f t="shared" si="9"/>
        <v>3.4708867501381073E-2</v>
      </c>
      <c r="AR25" s="206">
        <f t="shared" si="10"/>
        <v>3.0218089420955812</v>
      </c>
      <c r="AS25" s="71">
        <f t="shared" si="11"/>
        <v>0.12000000000000001</v>
      </c>
      <c r="AT25" s="74">
        <f t="shared" si="12"/>
        <v>3.6299999999999995E-5</v>
      </c>
      <c r="AU25" s="73">
        <f t="shared" si="26"/>
        <v>4.365688802397095</v>
      </c>
      <c r="AV25" s="71">
        <f t="shared" si="27"/>
        <v>38.519999999999996</v>
      </c>
      <c r="AW25" s="74">
        <f t="shared" si="28"/>
        <v>89.820173292510859</v>
      </c>
    </row>
    <row r="26" spans="17:49" x14ac:dyDescent="0.25">
      <c r="Q26">
        <v>19</v>
      </c>
      <c r="R26" s="73">
        <f t="shared" si="0"/>
        <v>53.5</v>
      </c>
      <c r="S26" s="71">
        <f t="shared" si="1"/>
        <v>0.76</v>
      </c>
      <c r="T26" s="71">
        <f t="shared" si="2"/>
        <v>11</v>
      </c>
      <c r="U26" s="74">
        <f t="shared" si="3"/>
        <v>3.6963636363636367</v>
      </c>
      <c r="V26" s="73">
        <f>IF(Variable_Management!$B$20=3,2,IF((S26*R26/T26)&lt;((T26*(1-(T26/R26)))/(2*Lm*Fsw)),1,2))</f>
        <v>2</v>
      </c>
      <c r="W26" s="71">
        <f t="shared" si="13"/>
        <v>0.79439252336448596</v>
      </c>
      <c r="X26" s="74">
        <f t="shared" si="4"/>
        <v>0.20560747663551404</v>
      </c>
      <c r="Y26" s="73">
        <f t="shared" si="5"/>
        <v>5.8255451713395638</v>
      </c>
      <c r="Z26" s="71">
        <f t="shared" si="30"/>
        <v>6.6091362220334187</v>
      </c>
      <c r="AA26" s="71">
        <f t="shared" si="31"/>
        <v>4.0609340687631477</v>
      </c>
      <c r="AB26" s="71">
        <v>0</v>
      </c>
      <c r="AC26" s="71">
        <f t="shared" si="6"/>
        <v>3.7929726674934786E-2</v>
      </c>
      <c r="AD26" s="74">
        <f t="shared" si="16"/>
        <v>3.7929726674934786E-2</v>
      </c>
      <c r="AE26" s="73">
        <f t="shared" si="29"/>
        <v>2.9363636363636365</v>
      </c>
      <c r="AF26" s="71">
        <f t="shared" si="17"/>
        <v>3.6194577592823221</v>
      </c>
      <c r="AG26" s="71">
        <f t="shared" si="7"/>
        <v>5.2401897884916032E-2</v>
      </c>
      <c r="AH26" s="71">
        <f t="shared" si="18"/>
        <v>1.0496985631205422</v>
      </c>
      <c r="AI26" s="74">
        <f t="shared" si="19"/>
        <v>1.1021004610054583</v>
      </c>
      <c r="AJ26" s="73">
        <f t="shared" si="20"/>
        <v>0.76000000000000012</v>
      </c>
      <c r="AK26" s="71">
        <f t="shared" si="21"/>
        <v>1.8413883456816529</v>
      </c>
      <c r="AL26" s="71">
        <f t="shared" si="8"/>
        <v>1.3562844158448857E-2</v>
      </c>
      <c r="AM26" s="71">
        <f t="shared" si="22"/>
        <v>0</v>
      </c>
      <c r="AN26" s="188">
        <f t="shared" si="23"/>
        <v>7.9309634664401024E-2</v>
      </c>
      <c r="AO26" s="74">
        <f t="shared" si="24"/>
        <v>9.287247882284988E-2</v>
      </c>
      <c r="AP26" s="73">
        <f t="shared" si="25"/>
        <v>2.4736778266261819E-2</v>
      </c>
      <c r="AQ26" s="206">
        <f t="shared" si="9"/>
        <v>3.7929726674934786E-2</v>
      </c>
      <c r="AR26" s="206">
        <f t="shared" si="10"/>
        <v>3.0218089420955812</v>
      </c>
      <c r="AS26" s="71">
        <f t="shared" si="11"/>
        <v>0.12000000000000001</v>
      </c>
      <c r="AT26" s="74">
        <f t="shared" si="12"/>
        <v>3.6299999999999995E-5</v>
      </c>
      <c r="AU26" s="73">
        <f t="shared" si="26"/>
        <v>4.4374144135400204</v>
      </c>
      <c r="AV26" s="71">
        <f t="shared" si="27"/>
        <v>40.660000000000004</v>
      </c>
      <c r="AW26" s="74">
        <f t="shared" si="28"/>
        <v>90.160379544491732</v>
      </c>
    </row>
    <row r="27" spans="17:49" x14ac:dyDescent="0.25">
      <c r="Q27">
        <v>20</v>
      </c>
      <c r="R27" s="73">
        <f t="shared" si="0"/>
        <v>53.5</v>
      </c>
      <c r="S27" s="71">
        <f t="shared" si="1"/>
        <v>0.8</v>
      </c>
      <c r="T27" s="71">
        <f t="shared" si="2"/>
        <v>11</v>
      </c>
      <c r="U27" s="74">
        <f t="shared" si="3"/>
        <v>3.8909090909090911</v>
      </c>
      <c r="V27" s="73">
        <f>IF(Variable_Management!$B$20=3,2,IF((S27*R27/T27)&lt;((T27*(1-(T27/R27)))/(2*Lm*Fsw)),1,2))</f>
        <v>2</v>
      </c>
      <c r="W27" s="71">
        <f t="shared" si="13"/>
        <v>0.79439252336448596</v>
      </c>
      <c r="X27" s="74">
        <f t="shared" si="4"/>
        <v>0.20560747663551404</v>
      </c>
      <c r="Y27" s="73">
        <f t="shared" si="5"/>
        <v>5.8255451713395638</v>
      </c>
      <c r="Z27" s="71">
        <f t="shared" si="30"/>
        <v>6.803681676578873</v>
      </c>
      <c r="AA27" s="71">
        <f t="shared" si="31"/>
        <v>4.2387798872233056</v>
      </c>
      <c r="AB27" s="71">
        <v>0</v>
      </c>
      <c r="AC27" s="71">
        <f t="shared" si="6"/>
        <v>4.1324686344356279E-2</v>
      </c>
      <c r="AD27" s="74">
        <f t="shared" si="16"/>
        <v>4.1324686344356279E-2</v>
      </c>
      <c r="AE27" s="73">
        <f t="shared" si="29"/>
        <v>3.0909090909090908</v>
      </c>
      <c r="AF27" s="71">
        <f t="shared" si="17"/>
        <v>3.7779694259781533</v>
      </c>
      <c r="AG27" s="71">
        <f t="shared" si="7"/>
        <v>5.7092211934502791E-2</v>
      </c>
      <c r="AH27" s="71">
        <f t="shared" si="18"/>
        <v>1.1049458559163601</v>
      </c>
      <c r="AI27" s="74">
        <f t="shared" si="19"/>
        <v>1.1620380678508628</v>
      </c>
      <c r="AJ27" s="73">
        <f t="shared" si="20"/>
        <v>0.80000000000000016</v>
      </c>
      <c r="AK27" s="71">
        <f t="shared" si="21"/>
        <v>1.9220306836008425</v>
      </c>
      <c r="AL27" s="71">
        <f t="shared" si="8"/>
        <v>1.4776807794812488E-2</v>
      </c>
      <c r="AM27" s="71">
        <f t="shared" si="22"/>
        <v>0</v>
      </c>
      <c r="AN27" s="188">
        <f t="shared" si="23"/>
        <v>8.1644180118946474E-2</v>
      </c>
      <c r="AO27" s="74">
        <f t="shared" si="24"/>
        <v>9.6420987913758957E-2</v>
      </c>
      <c r="AP27" s="73">
        <f t="shared" si="25"/>
        <v>2.6950882398493227E-2</v>
      </c>
      <c r="AQ27" s="206">
        <f t="shared" si="9"/>
        <v>4.1324686344356279E-2</v>
      </c>
      <c r="AR27" s="206">
        <f t="shared" si="10"/>
        <v>3.0218089420955812</v>
      </c>
      <c r="AS27" s="71">
        <f t="shared" si="11"/>
        <v>0.12000000000000001</v>
      </c>
      <c r="AT27" s="74">
        <f t="shared" si="12"/>
        <v>3.6299999999999995E-5</v>
      </c>
      <c r="AU27" s="73">
        <f t="shared" si="26"/>
        <v>4.5099045529474093</v>
      </c>
      <c r="AV27" s="71">
        <f t="shared" si="27"/>
        <v>42.800000000000004</v>
      </c>
      <c r="AW27" s="74">
        <f t="shared" si="28"/>
        <v>90.467314200771426</v>
      </c>
    </row>
    <row r="28" spans="17:49" x14ac:dyDescent="0.25">
      <c r="Q28">
        <v>21</v>
      </c>
      <c r="R28" s="73">
        <f t="shared" si="0"/>
        <v>53.5</v>
      </c>
      <c r="S28" s="71">
        <f t="shared" si="1"/>
        <v>0.84</v>
      </c>
      <c r="T28" s="71">
        <f t="shared" si="2"/>
        <v>11</v>
      </c>
      <c r="U28" s="74">
        <f t="shared" si="3"/>
        <v>4.085454545454545</v>
      </c>
      <c r="V28" s="73">
        <f>IF(Variable_Management!$B$20=3,2,IF((S28*R28/T28)&lt;((T28*(1-(T28/R28)))/(2*Lm*Fsw)),1,2))</f>
        <v>2</v>
      </c>
      <c r="W28" s="71">
        <f t="shared" si="13"/>
        <v>0.79439252336448596</v>
      </c>
      <c r="X28" s="74">
        <f t="shared" si="4"/>
        <v>0.20560747663551404</v>
      </c>
      <c r="Y28" s="73">
        <f t="shared" si="5"/>
        <v>5.8255451713395638</v>
      </c>
      <c r="Z28" s="71">
        <f t="shared" si="30"/>
        <v>6.9982271311243274</v>
      </c>
      <c r="AA28" s="71">
        <f t="shared" si="31"/>
        <v>4.4180335242712916</v>
      </c>
      <c r="AB28" s="71">
        <v>0</v>
      </c>
      <c r="AC28" s="71">
        <f t="shared" si="6"/>
        <v>4.4893746509645518E-2</v>
      </c>
      <c r="AD28" s="74">
        <f t="shared" si="16"/>
        <v>4.4893746509645518E-2</v>
      </c>
      <c r="AE28" s="73">
        <f t="shared" si="29"/>
        <v>3.2454545454545451</v>
      </c>
      <c r="AF28" s="71">
        <f t="shared" si="17"/>
        <v>3.9377358630852006</v>
      </c>
      <c r="AG28" s="71">
        <f t="shared" si="7"/>
        <v>6.2023054909709399E-2</v>
      </c>
      <c r="AH28" s="71">
        <f t="shared" si="18"/>
        <v>1.1601931487121779</v>
      </c>
      <c r="AI28" s="74">
        <f t="shared" si="19"/>
        <v>1.2222162036218873</v>
      </c>
      <c r="AJ28" s="73">
        <f t="shared" si="20"/>
        <v>0.84</v>
      </c>
      <c r="AK28" s="71">
        <f t="shared" si="21"/>
        <v>2.0033113822263546</v>
      </c>
      <c r="AL28" s="71">
        <f t="shared" si="8"/>
        <v>1.6053025976630671E-2</v>
      </c>
      <c r="AM28" s="71">
        <f t="shared" si="22"/>
        <v>0</v>
      </c>
      <c r="AN28" s="188">
        <f t="shared" si="23"/>
        <v>8.3978725573491925E-2</v>
      </c>
      <c r="AO28" s="74">
        <f t="shared" si="24"/>
        <v>0.10003175155012259</v>
      </c>
      <c r="AP28" s="73">
        <f t="shared" si="25"/>
        <v>2.9278530332377515E-2</v>
      </c>
      <c r="AQ28" s="206">
        <f t="shared" si="9"/>
        <v>4.4893746509645518E-2</v>
      </c>
      <c r="AR28" s="206">
        <f t="shared" si="10"/>
        <v>3.0218089420955812</v>
      </c>
      <c r="AS28" s="71">
        <f t="shared" si="11"/>
        <v>0.12000000000000001</v>
      </c>
      <c r="AT28" s="74">
        <f t="shared" si="12"/>
        <v>3.6299999999999995E-5</v>
      </c>
      <c r="AU28" s="73">
        <f t="shared" si="26"/>
        <v>4.58315922061926</v>
      </c>
      <c r="AV28" s="71">
        <f t="shared" si="27"/>
        <v>44.94</v>
      </c>
      <c r="AW28" s="74">
        <f t="shared" si="28"/>
        <v>90.745422358452785</v>
      </c>
    </row>
    <row r="29" spans="17:49" x14ac:dyDescent="0.25">
      <c r="Q29">
        <v>22</v>
      </c>
      <c r="R29" s="73">
        <f t="shared" si="0"/>
        <v>53.5</v>
      </c>
      <c r="S29" s="71">
        <f t="shared" si="1"/>
        <v>0.88</v>
      </c>
      <c r="T29" s="71">
        <f t="shared" si="2"/>
        <v>11</v>
      </c>
      <c r="U29" s="74">
        <f t="shared" si="3"/>
        <v>4.28</v>
      </c>
      <c r="V29" s="73">
        <f>IF(Variable_Management!$B$20=3,2,IF((S29*R29/T29)&lt;((T29*(1-(T29/R29)))/(2*Lm*Fsw)),1,2))</f>
        <v>2</v>
      </c>
      <c r="W29" s="71">
        <f t="shared" si="13"/>
        <v>0.79439252336448596</v>
      </c>
      <c r="X29" s="74">
        <f t="shared" si="4"/>
        <v>0.20560747663551404</v>
      </c>
      <c r="Y29" s="73">
        <f t="shared" si="5"/>
        <v>5.8255451713395638</v>
      </c>
      <c r="Z29" s="71">
        <f t="shared" si="30"/>
        <v>7.1927725856697826</v>
      </c>
      <c r="AA29" s="71">
        <f t="shared" si="31"/>
        <v>4.5985303498628571</v>
      </c>
      <c r="AB29" s="71">
        <v>0</v>
      </c>
      <c r="AC29" s="71">
        <f t="shared" si="6"/>
        <v>4.863690717080256E-2</v>
      </c>
      <c r="AD29" s="74">
        <f t="shared" si="16"/>
        <v>4.863690717080256E-2</v>
      </c>
      <c r="AE29" s="73">
        <f t="shared" si="29"/>
        <v>3.4</v>
      </c>
      <c r="AF29" s="71">
        <f t="shared" si="17"/>
        <v>4.0986103379845664</v>
      </c>
      <c r="AG29" s="71">
        <f t="shared" si="7"/>
        <v>6.7194426810535848E-2</v>
      </c>
      <c r="AH29" s="71">
        <f t="shared" si="18"/>
        <v>1.2154404415079962</v>
      </c>
      <c r="AI29" s="74">
        <f t="shared" si="19"/>
        <v>1.282634868318532</v>
      </c>
      <c r="AJ29" s="73">
        <f t="shared" si="20"/>
        <v>0.88000000000000012</v>
      </c>
      <c r="AK29" s="71">
        <f t="shared" si="21"/>
        <v>2.0851557917757249</v>
      </c>
      <c r="AL29" s="71">
        <f t="shared" si="8"/>
        <v>1.7391498703903403E-2</v>
      </c>
      <c r="AM29" s="71">
        <f t="shared" si="22"/>
        <v>0</v>
      </c>
      <c r="AN29" s="188">
        <f t="shared" si="23"/>
        <v>8.6313271028037389E-2</v>
      </c>
      <c r="AO29" s="74">
        <f t="shared" si="24"/>
        <v>0.10370476973194079</v>
      </c>
      <c r="AP29" s="73">
        <f t="shared" si="25"/>
        <v>3.1719722067914714E-2</v>
      </c>
      <c r="AQ29" s="206">
        <f t="shared" si="9"/>
        <v>4.863690717080256E-2</v>
      </c>
      <c r="AR29" s="206">
        <f t="shared" si="10"/>
        <v>3.0218089420955812</v>
      </c>
      <c r="AS29" s="71">
        <f t="shared" si="11"/>
        <v>0.12000000000000001</v>
      </c>
      <c r="AT29" s="74">
        <f t="shared" si="12"/>
        <v>3.6299999999999995E-5</v>
      </c>
      <c r="AU29" s="73">
        <f t="shared" si="26"/>
        <v>4.6571784165555741</v>
      </c>
      <c r="AV29" s="71">
        <f t="shared" si="27"/>
        <v>47.08</v>
      </c>
      <c r="AW29" s="74">
        <f t="shared" si="28"/>
        <v>90.998391178083054</v>
      </c>
    </row>
    <row r="30" spans="17:49" x14ac:dyDescent="0.25">
      <c r="Q30">
        <v>23</v>
      </c>
      <c r="R30" s="73">
        <f t="shared" si="0"/>
        <v>53.5</v>
      </c>
      <c r="S30" s="71">
        <f t="shared" si="1"/>
        <v>0.92</v>
      </c>
      <c r="T30" s="71">
        <f t="shared" si="2"/>
        <v>11</v>
      </c>
      <c r="U30" s="74">
        <f t="shared" si="3"/>
        <v>4.4745454545454546</v>
      </c>
      <c r="V30" s="73">
        <f>IF(Variable_Management!$B$20=3,2,IF((S30*R30/T30)&lt;((T30*(1-(T30/R30)))/(2*Lm*Fsw)),1,2))</f>
        <v>2</v>
      </c>
      <c r="W30" s="71">
        <f t="shared" si="13"/>
        <v>0.79439252336448596</v>
      </c>
      <c r="X30" s="74">
        <f t="shared" si="4"/>
        <v>0.20560747663551404</v>
      </c>
      <c r="Y30" s="73">
        <f t="shared" si="5"/>
        <v>5.8255451713395638</v>
      </c>
      <c r="Z30" s="71">
        <f t="shared" si="30"/>
        <v>7.3873180402152361</v>
      </c>
      <c r="AA30" s="71">
        <f t="shared" si="31"/>
        <v>4.780129538349688</v>
      </c>
      <c r="AB30" s="71">
        <v>0</v>
      </c>
      <c r="AC30" s="71">
        <f t="shared" si="6"/>
        <v>5.2554168327827361E-2</v>
      </c>
      <c r="AD30" s="74">
        <f t="shared" si="16"/>
        <v>5.2554168327827361E-2</v>
      </c>
      <c r="AE30" s="73">
        <f t="shared" si="29"/>
        <v>3.5545454545454547</v>
      </c>
      <c r="AF30" s="71">
        <f t="shared" si="17"/>
        <v>4.2604673346060906</v>
      </c>
      <c r="AG30" s="71">
        <f t="shared" si="7"/>
        <v>7.2606327636982104E-2</v>
      </c>
      <c r="AH30" s="71">
        <f t="shared" si="18"/>
        <v>1.2706877343038141</v>
      </c>
      <c r="AI30" s="74">
        <f t="shared" si="19"/>
        <v>1.3432940619407963</v>
      </c>
      <c r="AJ30" s="73">
        <f t="shared" si="20"/>
        <v>0.92000000000000015</v>
      </c>
      <c r="AK30" s="71">
        <f t="shared" si="21"/>
        <v>2.1675000563224134</v>
      </c>
      <c r="AL30" s="71">
        <f t="shared" si="8"/>
        <v>1.8792225976630661E-2</v>
      </c>
      <c r="AM30" s="71">
        <f t="shared" si="22"/>
        <v>0</v>
      </c>
      <c r="AN30" s="188">
        <f t="shared" si="23"/>
        <v>8.8647816482582839E-2</v>
      </c>
      <c r="AO30" s="74">
        <f t="shared" si="24"/>
        <v>0.1074400424592135</v>
      </c>
      <c r="AP30" s="73">
        <f t="shared" si="25"/>
        <v>3.4274457605104801E-2</v>
      </c>
      <c r="AQ30" s="206">
        <f t="shared" si="9"/>
        <v>5.2554168327827361E-2</v>
      </c>
      <c r="AR30" s="206">
        <f t="shared" si="10"/>
        <v>3.0218089420955812</v>
      </c>
      <c r="AS30" s="71">
        <f t="shared" si="11"/>
        <v>0.12000000000000001</v>
      </c>
      <c r="AT30" s="74">
        <f t="shared" si="12"/>
        <v>3.6299999999999995E-5</v>
      </c>
      <c r="AU30" s="73">
        <f t="shared" si="26"/>
        <v>4.7319621407563508</v>
      </c>
      <c r="AV30" s="71">
        <f t="shared" si="27"/>
        <v>49.22</v>
      </c>
      <c r="AW30" s="74">
        <f t="shared" si="28"/>
        <v>91.229304824148855</v>
      </c>
    </row>
    <row r="31" spans="17:49" x14ac:dyDescent="0.25">
      <c r="Q31">
        <v>24</v>
      </c>
      <c r="R31" s="73">
        <f t="shared" si="0"/>
        <v>53.5</v>
      </c>
      <c r="S31" s="71">
        <f t="shared" si="1"/>
        <v>0.96</v>
      </c>
      <c r="T31" s="71">
        <f t="shared" si="2"/>
        <v>11</v>
      </c>
      <c r="U31" s="74">
        <f t="shared" si="3"/>
        <v>4.669090909090909</v>
      </c>
      <c r="V31" s="73">
        <f>IF(Variable_Management!$B$20=3,2,IF((S31*R31/T31)&lt;((T31*(1-(T31/R31)))/(2*Lm*Fsw)),1,2))</f>
        <v>2</v>
      </c>
      <c r="W31" s="71">
        <f t="shared" si="13"/>
        <v>0.79439252336448596</v>
      </c>
      <c r="X31" s="74">
        <f t="shared" si="4"/>
        <v>0.20560747663551404</v>
      </c>
      <c r="Y31" s="73">
        <f t="shared" si="5"/>
        <v>5.8255451713395638</v>
      </c>
      <c r="Z31" s="71">
        <f t="shared" si="30"/>
        <v>7.5818634947606913</v>
      </c>
      <c r="AA31" s="71">
        <f t="shared" si="31"/>
        <v>4.9627100757514722</v>
      </c>
      <c r="AB31" s="71">
        <v>0</v>
      </c>
      <c r="AC31" s="71">
        <f t="shared" si="6"/>
        <v>5.6645529980719922E-2</v>
      </c>
      <c r="AD31" s="74">
        <f t="shared" si="16"/>
        <v>5.6645529980719922E-2</v>
      </c>
      <c r="AE31" s="73">
        <f t="shared" si="29"/>
        <v>3.709090909090909</v>
      </c>
      <c r="AF31" s="71">
        <f t="shared" si="17"/>
        <v>4.4231989947618295</v>
      </c>
      <c r="AG31" s="71">
        <f t="shared" si="7"/>
        <v>7.825875738904825E-2</v>
      </c>
      <c r="AH31" s="71">
        <f t="shared" si="18"/>
        <v>1.325935027099632</v>
      </c>
      <c r="AI31" s="74">
        <f t="shared" si="19"/>
        <v>1.4041937844886803</v>
      </c>
      <c r="AJ31" s="73">
        <f t="shared" si="20"/>
        <v>0.96000000000000008</v>
      </c>
      <c r="AK31" s="71">
        <f t="shared" si="21"/>
        <v>2.2502893033348226</v>
      </c>
      <c r="AL31" s="71">
        <f t="shared" si="8"/>
        <v>2.0255207794812484E-2</v>
      </c>
      <c r="AM31" s="71">
        <f t="shared" si="22"/>
        <v>0</v>
      </c>
      <c r="AN31" s="188">
        <f t="shared" si="23"/>
        <v>9.0982361937128303E-2</v>
      </c>
      <c r="AO31" s="74">
        <f t="shared" si="24"/>
        <v>0.11123756973194079</v>
      </c>
      <c r="AP31" s="73">
        <f t="shared" si="25"/>
        <v>3.6942736943947778E-2</v>
      </c>
      <c r="AQ31" s="206">
        <f t="shared" si="9"/>
        <v>5.6645529980719922E-2</v>
      </c>
      <c r="AR31" s="206">
        <f t="shared" si="10"/>
        <v>3.0218089420955812</v>
      </c>
      <c r="AS31" s="71">
        <f t="shared" si="11"/>
        <v>0.12000000000000001</v>
      </c>
      <c r="AT31" s="74">
        <f t="shared" si="12"/>
        <v>3.6299999999999995E-5</v>
      </c>
      <c r="AU31" s="73">
        <f t="shared" si="26"/>
        <v>4.8075103932215901</v>
      </c>
      <c r="AV31" s="71">
        <f t="shared" si="27"/>
        <v>51.36</v>
      </c>
      <c r="AW31" s="74">
        <f t="shared" si="28"/>
        <v>91.440762890210337</v>
      </c>
    </row>
    <row r="32" spans="17:49" x14ac:dyDescent="0.25">
      <c r="Q32">
        <v>25</v>
      </c>
      <c r="R32" s="73">
        <f t="shared" si="0"/>
        <v>53.5</v>
      </c>
      <c r="S32" s="71">
        <f t="shared" si="1"/>
        <v>1</v>
      </c>
      <c r="T32" s="71">
        <f t="shared" si="2"/>
        <v>11</v>
      </c>
      <c r="U32" s="74">
        <f t="shared" si="3"/>
        <v>4.8636363636363633</v>
      </c>
      <c r="V32" s="73">
        <f>IF(Variable_Management!$B$20=3,2,IF((S32*R32/T32)&lt;((T32*(1-(T32/R32)))/(2*Lm*Fsw)),1,2))</f>
        <v>2</v>
      </c>
      <c r="W32" s="71">
        <f t="shared" si="13"/>
        <v>0.79439252336448596</v>
      </c>
      <c r="X32" s="74">
        <f t="shared" si="4"/>
        <v>0.20560747663551404</v>
      </c>
      <c r="Y32" s="73">
        <f t="shared" si="5"/>
        <v>5.8255451713395638</v>
      </c>
      <c r="Z32" s="71">
        <f t="shared" si="30"/>
        <v>7.7764089493061448</v>
      </c>
      <c r="AA32" s="71">
        <f t="shared" si="31"/>
        <v>5.1461675114881125</v>
      </c>
      <c r="AB32" s="71">
        <v>0</v>
      </c>
      <c r="AC32" s="71">
        <f t="shared" si="6"/>
        <v>6.0910992129480229E-2</v>
      </c>
      <c r="AD32" s="74">
        <f t="shared" si="16"/>
        <v>6.0910992129480229E-2</v>
      </c>
      <c r="AE32" s="73">
        <f t="shared" si="29"/>
        <v>3.8636363636363633</v>
      </c>
      <c r="AF32" s="71">
        <f t="shared" si="17"/>
        <v>4.5867122230071882</v>
      </c>
      <c r="AG32" s="71">
        <f t="shared" si="7"/>
        <v>8.4151716066734175E-2</v>
      </c>
      <c r="AH32" s="71">
        <f t="shared" si="18"/>
        <v>1.38118231989545</v>
      </c>
      <c r="AI32" s="74">
        <f t="shared" si="19"/>
        <v>1.4653340359621843</v>
      </c>
      <c r="AJ32" s="73">
        <f t="shared" si="20"/>
        <v>1</v>
      </c>
      <c r="AK32" s="71">
        <f t="shared" si="21"/>
        <v>2.3334761707830256</v>
      </c>
      <c r="AL32" s="71">
        <f t="shared" si="8"/>
        <v>2.1780444158448847E-2</v>
      </c>
      <c r="AM32" s="71">
        <f t="shared" si="22"/>
        <v>0</v>
      </c>
      <c r="AN32" s="188">
        <f t="shared" si="23"/>
        <v>9.331690739167374E-2</v>
      </c>
      <c r="AO32" s="74">
        <f t="shared" si="24"/>
        <v>0.11509735155012259</v>
      </c>
      <c r="AP32" s="73">
        <f t="shared" si="25"/>
        <v>3.9724560084443632E-2</v>
      </c>
      <c r="AQ32" s="206">
        <f t="shared" si="9"/>
        <v>6.0910992129480229E-2</v>
      </c>
      <c r="AR32" s="206">
        <f t="shared" si="10"/>
        <v>3.0218089420955812</v>
      </c>
      <c r="AS32" s="71">
        <f t="shared" si="11"/>
        <v>0.12000000000000001</v>
      </c>
      <c r="AT32" s="74">
        <f t="shared" si="12"/>
        <v>3.6299999999999995E-5</v>
      </c>
      <c r="AU32" s="73">
        <f t="shared" si="26"/>
        <v>4.8838231739512921</v>
      </c>
      <c r="AV32" s="71">
        <f t="shared" si="27"/>
        <v>53.5</v>
      </c>
      <c r="AW32" s="74">
        <f t="shared" si="28"/>
        <v>91.634971969204187</v>
      </c>
    </row>
    <row r="33" spans="17:49" x14ac:dyDescent="0.25">
      <c r="Q33">
        <v>26</v>
      </c>
      <c r="R33" s="73">
        <f t="shared" si="0"/>
        <v>53.5</v>
      </c>
      <c r="S33" s="71">
        <f t="shared" si="1"/>
        <v>1.04</v>
      </c>
      <c r="T33" s="71">
        <f t="shared" si="2"/>
        <v>11</v>
      </c>
      <c r="U33" s="74">
        <f t="shared" si="3"/>
        <v>5.0581818181818186</v>
      </c>
      <c r="V33" s="73">
        <f>IF(Variable_Management!$B$20=3,2,IF((S33*R33/T33)&lt;((T33*(1-(T33/R33)))/(2*Lm*Fsw)),1,2))</f>
        <v>2</v>
      </c>
      <c r="W33" s="71">
        <f t="shared" si="13"/>
        <v>0.79439252336448596</v>
      </c>
      <c r="X33" s="74">
        <f t="shared" si="4"/>
        <v>0.20560747663551404</v>
      </c>
      <c r="Y33" s="73">
        <f t="shared" si="5"/>
        <v>5.8255451713395638</v>
      </c>
      <c r="Z33" s="71">
        <f t="shared" si="30"/>
        <v>7.9709544038516</v>
      </c>
      <c r="AA33" s="71">
        <f t="shared" si="31"/>
        <v>5.3304113053679956</v>
      </c>
      <c r="AB33" s="71">
        <v>0</v>
      </c>
      <c r="AC33" s="71">
        <f t="shared" si="6"/>
        <v>6.5350554774108352E-2</v>
      </c>
      <c r="AD33" s="74">
        <f t="shared" si="16"/>
        <v>6.5350554774108352E-2</v>
      </c>
      <c r="AE33" s="73">
        <f t="shared" si="29"/>
        <v>4.0181818181818185</v>
      </c>
      <c r="AF33" s="71">
        <f t="shared" si="17"/>
        <v>4.7509263220460483</v>
      </c>
      <c r="AG33" s="71">
        <f t="shared" si="7"/>
        <v>9.0285203670039962E-2</v>
      </c>
      <c r="AH33" s="71">
        <f t="shared" si="18"/>
        <v>1.4364296126912683</v>
      </c>
      <c r="AI33" s="74">
        <f t="shared" si="19"/>
        <v>1.5267148163613082</v>
      </c>
      <c r="AJ33" s="73">
        <f t="shared" si="20"/>
        <v>1.0400000000000003</v>
      </c>
      <c r="AK33" s="71">
        <f t="shared" si="21"/>
        <v>2.4170196041581749</v>
      </c>
      <c r="AL33" s="71">
        <f t="shared" si="8"/>
        <v>2.3367935067539761E-2</v>
      </c>
      <c r="AM33" s="71">
        <f t="shared" si="22"/>
        <v>0</v>
      </c>
      <c r="AN33" s="188">
        <f t="shared" si="23"/>
        <v>9.5651452846219204E-2</v>
      </c>
      <c r="AO33" s="74">
        <f t="shared" si="24"/>
        <v>0.11901938791375896</v>
      </c>
      <c r="AP33" s="73">
        <f t="shared" si="25"/>
        <v>4.2619927026592411E-2</v>
      </c>
      <c r="AQ33" s="206">
        <f t="shared" si="9"/>
        <v>6.5350554774108352E-2</v>
      </c>
      <c r="AR33" s="206">
        <f t="shared" si="10"/>
        <v>3.0218089420955812</v>
      </c>
      <c r="AS33" s="71">
        <f t="shared" si="11"/>
        <v>0.12000000000000001</v>
      </c>
      <c r="AT33" s="74">
        <f t="shared" si="12"/>
        <v>3.6299999999999995E-5</v>
      </c>
      <c r="AU33" s="73">
        <f t="shared" si="26"/>
        <v>4.9609004829454584</v>
      </c>
      <c r="AV33" s="71">
        <f t="shared" si="27"/>
        <v>55.64</v>
      </c>
      <c r="AW33" s="74">
        <f t="shared" si="28"/>
        <v>91.813817214908255</v>
      </c>
    </row>
    <row r="34" spans="17:49" x14ac:dyDescent="0.25">
      <c r="Q34">
        <v>27</v>
      </c>
      <c r="R34" s="73">
        <f t="shared" si="0"/>
        <v>53.5</v>
      </c>
      <c r="S34" s="71">
        <f t="shared" si="1"/>
        <v>1.08</v>
      </c>
      <c r="T34" s="71">
        <f t="shared" si="2"/>
        <v>11</v>
      </c>
      <c r="U34" s="74">
        <f t="shared" si="3"/>
        <v>5.2527272727272729</v>
      </c>
      <c r="V34" s="73">
        <f>IF(Variable_Management!$B$20=3,2,IF((S34*R34/T34)&lt;((T34*(1-(T34/R34)))/(2*Lm*Fsw)),1,2))</f>
        <v>2</v>
      </c>
      <c r="W34" s="71">
        <f t="shared" si="13"/>
        <v>0.79439252336448596</v>
      </c>
      <c r="X34" s="74">
        <f t="shared" si="4"/>
        <v>0.20560747663551404</v>
      </c>
      <c r="Y34" s="73">
        <f t="shared" si="5"/>
        <v>5.8255451713395638</v>
      </c>
      <c r="Z34" s="71">
        <f t="shared" si="30"/>
        <v>8.1654998583970553</v>
      </c>
      <c r="AA34" s="71">
        <f t="shared" si="31"/>
        <v>5.5153626517449155</v>
      </c>
      <c r="AB34" s="71">
        <v>0</v>
      </c>
      <c r="AC34" s="71">
        <f t="shared" si="6"/>
        <v>6.9964217914604221E-2</v>
      </c>
      <c r="AD34" s="74">
        <f t="shared" si="16"/>
        <v>6.9964217914604221E-2</v>
      </c>
      <c r="AE34" s="73">
        <f t="shared" si="29"/>
        <v>4.1727272727272728</v>
      </c>
      <c r="AF34" s="71">
        <f t="shared" si="17"/>
        <v>4.9157710534301131</v>
      </c>
      <c r="AG34" s="71">
        <f t="shared" si="7"/>
        <v>9.6659220198965612E-2</v>
      </c>
      <c r="AH34" s="71">
        <f t="shared" si="18"/>
        <v>1.4916769054870862</v>
      </c>
      <c r="AI34" s="74">
        <f t="shared" si="19"/>
        <v>1.5883361256860518</v>
      </c>
      <c r="AJ34" s="73">
        <f t="shared" si="20"/>
        <v>1.08</v>
      </c>
      <c r="AK34" s="71">
        <f t="shared" si="21"/>
        <v>2.5008838698590754</v>
      </c>
      <c r="AL34" s="71">
        <f t="shared" si="8"/>
        <v>2.5017680522085219E-2</v>
      </c>
      <c r="AM34" s="71">
        <f t="shared" si="22"/>
        <v>0</v>
      </c>
      <c r="AN34" s="188">
        <f t="shared" si="23"/>
        <v>9.7985998300764668E-2</v>
      </c>
      <c r="AO34" s="74">
        <f t="shared" si="24"/>
        <v>0.12300367882284989</v>
      </c>
      <c r="AP34" s="73">
        <f t="shared" si="25"/>
        <v>4.562883777039406E-2</v>
      </c>
      <c r="AQ34" s="206">
        <f t="shared" si="9"/>
        <v>6.9964217914604221E-2</v>
      </c>
      <c r="AR34" s="206">
        <f t="shared" si="10"/>
        <v>3.0218089420955812</v>
      </c>
      <c r="AS34" s="71">
        <f t="shared" si="11"/>
        <v>0.12000000000000001</v>
      </c>
      <c r="AT34" s="74">
        <f t="shared" si="12"/>
        <v>3.6299999999999995E-5</v>
      </c>
      <c r="AU34" s="73">
        <f t="shared" si="26"/>
        <v>5.0387423202040855</v>
      </c>
      <c r="AV34" s="71">
        <f t="shared" si="27"/>
        <v>57.78</v>
      </c>
      <c r="AW34" s="74">
        <f t="shared" si="28"/>
        <v>91.97891881610704</v>
      </c>
    </row>
    <row r="35" spans="17:49" x14ac:dyDescent="0.25">
      <c r="Q35">
        <v>28</v>
      </c>
      <c r="R35" s="73">
        <f t="shared" si="0"/>
        <v>53.5</v>
      </c>
      <c r="S35" s="71">
        <f t="shared" si="1"/>
        <v>1.1200000000000001</v>
      </c>
      <c r="T35" s="71">
        <f t="shared" si="2"/>
        <v>11</v>
      </c>
      <c r="U35" s="74">
        <f t="shared" si="3"/>
        <v>5.4472727272727282</v>
      </c>
      <c r="V35" s="73">
        <f>IF(Variable_Management!$B$20=3,2,IF((S35*R35/T35)&lt;((T35*(1-(T35/R35)))/(2*Lm*Fsw)),1,2))</f>
        <v>2</v>
      </c>
      <c r="W35" s="71">
        <f t="shared" si="13"/>
        <v>0.79439252336448596</v>
      </c>
      <c r="X35" s="74">
        <f t="shared" si="4"/>
        <v>0.20560747663551404</v>
      </c>
      <c r="Y35" s="73">
        <f t="shared" si="5"/>
        <v>5.8255451713395638</v>
      </c>
      <c r="Z35" s="71">
        <f t="shared" si="30"/>
        <v>8.3600453129425105</v>
      </c>
      <c r="AA35" s="71">
        <f t="shared" si="31"/>
        <v>5.7009526873934915</v>
      </c>
      <c r="AB35" s="71">
        <v>0</v>
      </c>
      <c r="AC35" s="71">
        <f t="shared" si="6"/>
        <v>7.4751981550967864E-2</v>
      </c>
      <c r="AD35" s="74">
        <f t="shared" si="16"/>
        <v>7.4751981550967864E-2</v>
      </c>
      <c r="AE35" s="73">
        <f t="shared" si="29"/>
        <v>4.327272727272728</v>
      </c>
      <c r="AF35" s="71">
        <f t="shared" si="17"/>
        <v>5.081185040261551</v>
      </c>
      <c r="AG35" s="71">
        <f t="shared" si="7"/>
        <v>0.10327376565351112</v>
      </c>
      <c r="AH35" s="71">
        <f t="shared" si="18"/>
        <v>1.5469241982829045</v>
      </c>
      <c r="AI35" s="74">
        <f t="shared" si="19"/>
        <v>1.6501979639364157</v>
      </c>
      <c r="AJ35" s="73">
        <f t="shared" si="20"/>
        <v>1.1200000000000003</v>
      </c>
      <c r="AK35" s="71">
        <f t="shared" si="21"/>
        <v>2.5850377425719162</v>
      </c>
      <c r="AL35" s="71">
        <f t="shared" si="8"/>
        <v>2.6729680522085235E-2</v>
      </c>
      <c r="AM35" s="71">
        <f t="shared" si="22"/>
        <v>0</v>
      </c>
      <c r="AN35" s="188">
        <f t="shared" si="23"/>
        <v>0.10032054375531013</v>
      </c>
      <c r="AO35" s="74">
        <f t="shared" si="24"/>
        <v>0.12705022427739537</v>
      </c>
      <c r="AP35" s="73">
        <f t="shared" si="25"/>
        <v>4.8751292315848606E-2</v>
      </c>
      <c r="AQ35" s="206">
        <f t="shared" si="9"/>
        <v>7.4751981550967864E-2</v>
      </c>
      <c r="AR35" s="206">
        <f t="shared" si="10"/>
        <v>3.0218089420955812</v>
      </c>
      <c r="AS35" s="71">
        <f t="shared" si="11"/>
        <v>0.12000000000000001</v>
      </c>
      <c r="AT35" s="74">
        <f t="shared" si="12"/>
        <v>3.6299999999999995E-5</v>
      </c>
      <c r="AU35" s="73">
        <f t="shared" si="26"/>
        <v>5.117348685727177</v>
      </c>
      <c r="AV35" s="71">
        <f t="shared" si="27"/>
        <v>59.920000000000009</v>
      </c>
      <c r="AW35" s="74">
        <f t="shared" si="28"/>
        <v>92.131676968482878</v>
      </c>
    </row>
    <row r="36" spans="17:49" x14ac:dyDescent="0.25">
      <c r="Q36">
        <v>29</v>
      </c>
      <c r="R36" s="73">
        <f t="shared" si="0"/>
        <v>53.5</v>
      </c>
      <c r="S36" s="71">
        <f t="shared" si="1"/>
        <v>1.1599999999999999</v>
      </c>
      <c r="T36" s="71">
        <f t="shared" si="2"/>
        <v>11</v>
      </c>
      <c r="U36" s="74">
        <f t="shared" si="3"/>
        <v>5.6418181818181816</v>
      </c>
      <c r="V36" s="73">
        <f>IF(Variable_Management!$B$20=3,2,IF((S36*R36/T36)&lt;((T36*(1-(T36/R36)))/(2*Lm*Fsw)),1,2))</f>
        <v>2</v>
      </c>
      <c r="W36" s="71">
        <f t="shared" si="13"/>
        <v>0.79439252336448596</v>
      </c>
      <c r="X36" s="74">
        <f t="shared" si="4"/>
        <v>0.20560747663551404</v>
      </c>
      <c r="Y36" s="73">
        <f t="shared" si="5"/>
        <v>5.8255451713395638</v>
      </c>
      <c r="Z36" s="71">
        <f t="shared" si="30"/>
        <v>8.554590767487964</v>
      </c>
      <c r="AA36" s="71">
        <f t="shared" si="31"/>
        <v>5.8871210090590136</v>
      </c>
      <c r="AB36" s="71">
        <v>0</v>
      </c>
      <c r="AC36" s="71">
        <f t="shared" si="6"/>
        <v>7.9713845683199253E-2</v>
      </c>
      <c r="AD36" s="74">
        <f t="shared" si="16"/>
        <v>7.9713845683199253E-2</v>
      </c>
      <c r="AE36" s="73">
        <f t="shared" si="29"/>
        <v>4.4818181818181815</v>
      </c>
      <c r="AF36" s="71">
        <f t="shared" si="17"/>
        <v>5.2471144459044421</v>
      </c>
      <c r="AG36" s="71">
        <f t="shared" si="7"/>
        <v>0.11012884003367633</v>
      </c>
      <c r="AH36" s="71">
        <f t="shared" si="18"/>
        <v>1.6021714910787219</v>
      </c>
      <c r="AI36" s="74">
        <f t="shared" si="19"/>
        <v>1.7123003311123983</v>
      </c>
      <c r="AJ36" s="73">
        <f t="shared" si="20"/>
        <v>1.1600000000000001</v>
      </c>
      <c r="AK36" s="71">
        <f t="shared" si="21"/>
        <v>2.6694538330686557</v>
      </c>
      <c r="AL36" s="71">
        <f t="shared" si="8"/>
        <v>2.8503935067539753E-2</v>
      </c>
      <c r="AM36" s="71">
        <f t="shared" si="22"/>
        <v>0</v>
      </c>
      <c r="AN36" s="188">
        <f t="shared" si="23"/>
        <v>0.10265508920985557</v>
      </c>
      <c r="AO36" s="74">
        <f t="shared" si="24"/>
        <v>0.13115902427739531</v>
      </c>
      <c r="AP36" s="73">
        <f t="shared" si="25"/>
        <v>5.1987290662956029E-2</v>
      </c>
      <c r="AQ36" s="206">
        <f t="shared" si="9"/>
        <v>7.9713845683199253E-2</v>
      </c>
      <c r="AR36" s="206">
        <f t="shared" si="10"/>
        <v>3.0218089420955812</v>
      </c>
      <c r="AS36" s="71">
        <f t="shared" si="11"/>
        <v>0.12000000000000001</v>
      </c>
      <c r="AT36" s="74">
        <f t="shared" si="12"/>
        <v>3.6299999999999995E-5</v>
      </c>
      <c r="AU36" s="73">
        <f t="shared" si="26"/>
        <v>5.1967195795147294</v>
      </c>
      <c r="AV36" s="71">
        <f t="shared" si="27"/>
        <v>62.059999999999995</v>
      </c>
      <c r="AW36" s="74">
        <f t="shared" si="28"/>
        <v>92.273307987656366</v>
      </c>
    </row>
    <row r="37" spans="17:49" x14ac:dyDescent="0.25">
      <c r="Q37">
        <v>30</v>
      </c>
      <c r="R37" s="73">
        <f t="shared" si="0"/>
        <v>53.5</v>
      </c>
      <c r="S37" s="71">
        <f t="shared" si="1"/>
        <v>1.2</v>
      </c>
      <c r="T37" s="71">
        <f t="shared" si="2"/>
        <v>11</v>
      </c>
      <c r="U37" s="74">
        <f t="shared" si="3"/>
        <v>5.8363636363636369</v>
      </c>
      <c r="V37" s="73">
        <f>IF(Variable_Management!$B$20=3,2,IF((S37*R37/T37)&lt;((T37*(1-(T37/R37)))/(2*Lm*Fsw)),1,2))</f>
        <v>2</v>
      </c>
      <c r="W37" s="71">
        <f t="shared" si="13"/>
        <v>0.79439252336448596</v>
      </c>
      <c r="X37" s="74">
        <f t="shared" si="4"/>
        <v>0.20560747663551404</v>
      </c>
      <c r="Y37" s="73">
        <f t="shared" si="5"/>
        <v>5.8255451713395638</v>
      </c>
      <c r="Z37" s="71">
        <f t="shared" si="30"/>
        <v>8.7491362220334192</v>
      </c>
      <c r="AA37" s="71">
        <f t="shared" si="31"/>
        <v>6.0738144418872055</v>
      </c>
      <c r="AB37" s="71">
        <v>0</v>
      </c>
      <c r="AC37" s="71">
        <f t="shared" si="6"/>
        <v>8.4849810311298443E-2</v>
      </c>
      <c r="AD37" s="74">
        <f t="shared" si="16"/>
        <v>8.4849810311298443E-2</v>
      </c>
      <c r="AE37" s="73">
        <f t="shared" si="29"/>
        <v>4.6363636363636367</v>
      </c>
      <c r="AF37" s="71">
        <f t="shared" si="17"/>
        <v>5.4135118763022385</v>
      </c>
      <c r="AG37" s="71">
        <f t="shared" si="7"/>
        <v>0.11722444333946153</v>
      </c>
      <c r="AH37" s="71">
        <f t="shared" si="18"/>
        <v>1.6574187838745402</v>
      </c>
      <c r="AI37" s="74">
        <f t="shared" si="19"/>
        <v>1.7746432272140018</v>
      </c>
      <c r="AJ37" s="73">
        <f t="shared" si="20"/>
        <v>1.2000000000000002</v>
      </c>
      <c r="AK37" s="71">
        <f t="shared" si="21"/>
        <v>2.7541080297643039</v>
      </c>
      <c r="AL37" s="71">
        <f t="shared" si="8"/>
        <v>3.0340444158448866E-2</v>
      </c>
      <c r="AM37" s="71">
        <f t="shared" si="22"/>
        <v>0</v>
      </c>
      <c r="AN37" s="188">
        <f t="shared" si="23"/>
        <v>0.10498963466440103</v>
      </c>
      <c r="AO37" s="74">
        <f t="shared" si="24"/>
        <v>0.13533007882284989</v>
      </c>
      <c r="AP37" s="73">
        <f t="shared" si="25"/>
        <v>5.5336832811716384E-2</v>
      </c>
      <c r="AQ37" s="206">
        <f t="shared" si="9"/>
        <v>8.4849810311298443E-2</v>
      </c>
      <c r="AR37" s="206">
        <f t="shared" si="10"/>
        <v>3.0218089420955812</v>
      </c>
      <c r="AS37" s="71">
        <f t="shared" si="11"/>
        <v>0.12000000000000001</v>
      </c>
      <c r="AT37" s="74">
        <f t="shared" si="12"/>
        <v>3.6299999999999995E-5</v>
      </c>
      <c r="AU37" s="73">
        <f t="shared" si="26"/>
        <v>5.2768550015667461</v>
      </c>
      <c r="AV37" s="71">
        <f t="shared" si="27"/>
        <v>64.2</v>
      </c>
      <c r="AW37" s="74">
        <f t="shared" si="28"/>
        <v>92.404873534578172</v>
      </c>
    </row>
    <row r="38" spans="17:49" x14ac:dyDescent="0.25">
      <c r="Q38">
        <v>31</v>
      </c>
      <c r="R38" s="73">
        <f t="shared" si="0"/>
        <v>53.5</v>
      </c>
      <c r="S38" s="71">
        <f t="shared" si="1"/>
        <v>1.24</v>
      </c>
      <c r="T38" s="71">
        <f t="shared" si="2"/>
        <v>11</v>
      </c>
      <c r="U38" s="74">
        <f t="shared" si="3"/>
        <v>6.0309090909090912</v>
      </c>
      <c r="V38" s="73">
        <f>IF(Variable_Management!$B$20=3,2,IF((S38*R38/T38)&lt;((T38*(1-(T38/R38)))/(2*Lm*Fsw)),1,2))</f>
        <v>2</v>
      </c>
      <c r="W38" s="71">
        <f t="shared" si="13"/>
        <v>0.79439252336448596</v>
      </c>
      <c r="X38" s="74">
        <f t="shared" si="4"/>
        <v>0.20560747663551404</v>
      </c>
      <c r="Y38" s="73">
        <f t="shared" si="5"/>
        <v>5.8255451713395638</v>
      </c>
      <c r="Z38" s="71">
        <f t="shared" si="30"/>
        <v>8.9436816765788727</v>
      </c>
      <c r="AA38" s="71">
        <f t="shared" si="31"/>
        <v>6.2609860119169518</v>
      </c>
      <c r="AB38" s="71">
        <v>0</v>
      </c>
      <c r="AC38" s="71">
        <f t="shared" si="6"/>
        <v>9.015987543526538E-2</v>
      </c>
      <c r="AD38" s="74">
        <f t="shared" si="16"/>
        <v>9.015987543526538E-2</v>
      </c>
      <c r="AE38" s="73">
        <f t="shared" si="29"/>
        <v>4.790909090909091</v>
      </c>
      <c r="AF38" s="71">
        <f t="shared" si="17"/>
        <v>5.5803354641738707</v>
      </c>
      <c r="AG38" s="71">
        <f t="shared" si="7"/>
        <v>0.12456057557086643</v>
      </c>
      <c r="AH38" s="71">
        <f t="shared" si="18"/>
        <v>1.7126660766703581</v>
      </c>
      <c r="AI38" s="74">
        <f t="shared" si="19"/>
        <v>1.8372266522412246</v>
      </c>
      <c r="AJ38" s="73">
        <f t="shared" si="20"/>
        <v>1.2400000000000002</v>
      </c>
      <c r="AK38" s="71">
        <f t="shared" si="21"/>
        <v>2.8389790328044202</v>
      </c>
      <c r="AL38" s="71">
        <f t="shared" si="8"/>
        <v>3.2239207794812486E-2</v>
      </c>
      <c r="AM38" s="71">
        <f t="shared" si="22"/>
        <v>0</v>
      </c>
      <c r="AN38" s="188">
        <f t="shared" si="23"/>
        <v>0.10732418011894647</v>
      </c>
      <c r="AO38" s="74">
        <f t="shared" si="24"/>
        <v>0.13956338791375894</v>
      </c>
      <c r="AP38" s="73">
        <f t="shared" si="25"/>
        <v>5.8799918762129602E-2</v>
      </c>
      <c r="AQ38" s="206">
        <f t="shared" si="9"/>
        <v>9.015987543526538E-2</v>
      </c>
      <c r="AR38" s="206">
        <f t="shared" si="10"/>
        <v>3.0218089420955812</v>
      </c>
      <c r="AS38" s="71">
        <f t="shared" si="11"/>
        <v>0.12000000000000001</v>
      </c>
      <c r="AT38" s="74">
        <f t="shared" si="12"/>
        <v>3.6299999999999995E-5</v>
      </c>
      <c r="AU38" s="73">
        <f t="shared" si="26"/>
        <v>5.3577549518832255</v>
      </c>
      <c r="AV38" s="71">
        <f t="shared" si="27"/>
        <v>66.34</v>
      </c>
      <c r="AW38" s="74">
        <f t="shared" si="28"/>
        <v>92.527304438641295</v>
      </c>
    </row>
    <row r="39" spans="17:49" x14ac:dyDescent="0.25">
      <c r="Q39">
        <v>32</v>
      </c>
      <c r="R39" s="73">
        <f t="shared" si="0"/>
        <v>53.5</v>
      </c>
      <c r="S39" s="71">
        <f t="shared" ref="S39:S70" si="32">Q39*$O$12</f>
        <v>1.28</v>
      </c>
      <c r="T39" s="71">
        <f t="shared" si="2"/>
        <v>11</v>
      </c>
      <c r="U39" s="74">
        <f t="shared" ref="U39:U70" si="33">(R39*S39)/(T39*EFF_est)</f>
        <v>6.2254545454545456</v>
      </c>
      <c r="V39" s="73">
        <f>IF(Variable_Management!$B$20=3,2,IF((S39*R39/T39)&lt;((T39*(1-(T39/R39)))/(2*Lm*Fsw)),1,2))</f>
        <v>2</v>
      </c>
      <c r="W39" s="71">
        <f t="shared" ref="W39:W70" si="34">CHOOSE(V39,SQRT((2*S39*Lm*Fsw*(R39-T39))/((T39)^2)),1-(T39/R39))</f>
        <v>0.79439252336448596</v>
      </c>
      <c r="X39" s="74">
        <f t="shared" ref="X39:X70" si="35">CHOOSE(V39,(Lm*Z39*Fsw)/(R39-T39),1-W39)</f>
        <v>0.20560747663551404</v>
      </c>
      <c r="Y39" s="73">
        <f t="shared" ref="Y39:Y70" si="36">(T39*W39)/(Lm*Fsw)</f>
        <v>5.8255451713395638</v>
      </c>
      <c r="Z39" s="71">
        <f t="shared" si="30"/>
        <v>9.1382271311243279</v>
      </c>
      <c r="AA39" s="71">
        <f t="shared" si="31"/>
        <v>6.4485940852352055</v>
      </c>
      <c r="AB39" s="71">
        <v>0</v>
      </c>
      <c r="AC39" s="71">
        <f t="shared" ref="AC39:AC70" si="37">(AA39^2)*Rdcr</f>
        <v>9.564404105510009E-2</v>
      </c>
      <c r="AD39" s="74">
        <f t="shared" si="16"/>
        <v>9.564404105510009E-2</v>
      </c>
      <c r="AE39" s="73">
        <f t="shared" si="29"/>
        <v>4.9454545454545453</v>
      </c>
      <c r="AF39" s="71">
        <f t="shared" si="17"/>
        <v>5.747548101753722</v>
      </c>
      <c r="AG39" s="71">
        <f t="shared" ref="AG39:AG70" si="38">(AF39^2)*RDS_on</f>
        <v>0.13213723672789127</v>
      </c>
      <c r="AH39" s="71">
        <f t="shared" ref="AH39:AH70" si="39">((R39*U39)/2)*Fsw*(tr_sw+tf_sw)</f>
        <v>1.7679133694661762</v>
      </c>
      <c r="AI39" s="74">
        <f t="shared" si="19"/>
        <v>1.9000506061940674</v>
      </c>
      <c r="AJ39" s="73">
        <f t="shared" si="20"/>
        <v>1.2800000000000002</v>
      </c>
      <c r="AK39" s="71">
        <f t="shared" ref="AK39:AK70" si="40">CHOOSE(V39,Z39*SQRT(X39/3),SQRT(X39*((Z39^2)+((Y39^2)/3)-(Y39*Z39))))</f>
        <v>2.9240479637238628</v>
      </c>
      <c r="AL39" s="71">
        <f t="shared" ref="AL39:AL70" si="41">(AK39^2)*RDS_on_HS</f>
        <v>3.420022597663068E-2</v>
      </c>
      <c r="AM39" s="71">
        <f t="shared" si="22"/>
        <v>0</v>
      </c>
      <c r="AN39" s="188">
        <f t="shared" ref="AN39:AN70" si="42">Vd_rect*t_dead*Fsw*Z39</f>
        <v>0.10965872557349193</v>
      </c>
      <c r="AO39" s="74">
        <f t="shared" si="24"/>
        <v>0.14385895155012263</v>
      </c>
      <c r="AP39" s="73">
        <f t="shared" ref="AP39:AP70" si="43">(AA39^2)*R_cs</f>
        <v>6.2376548514195711E-2</v>
      </c>
      <c r="AQ39" s="206">
        <f t="shared" ref="AQ39:AQ70" si="44">Rdcr*AA39^2</f>
        <v>9.564404105510009E-2</v>
      </c>
      <c r="AR39" s="206">
        <f t="shared" ref="AR39:AR70" si="45">ABS(7.759*10^-3*Fsw^0.9458*(0.00787*Y39)^2.304)</f>
        <v>3.0218089420955812</v>
      </c>
      <c r="AS39" s="71">
        <f t="shared" ref="AS39:AS70" si="46">(Qg_tot+Qg_tot_HS)*Vcc*Fsw</f>
        <v>0.12000000000000001</v>
      </c>
      <c r="AT39" s="74">
        <f t="shared" ref="AT39:AT70" si="47">IQ*T39</f>
        <v>3.6299999999999995E-5</v>
      </c>
      <c r="AU39" s="73">
        <f t="shared" si="26"/>
        <v>5.4394194304641683</v>
      </c>
      <c r="AV39" s="71">
        <f t="shared" si="27"/>
        <v>68.48</v>
      </c>
      <c r="AW39" s="74">
        <f t="shared" si="28"/>
        <v>92.641420248733112</v>
      </c>
    </row>
    <row r="40" spans="17:49" x14ac:dyDescent="0.25">
      <c r="Q40">
        <v>33</v>
      </c>
      <c r="R40" s="73">
        <f t="shared" si="0"/>
        <v>53.5</v>
      </c>
      <c r="S40" s="71">
        <f t="shared" si="32"/>
        <v>1.32</v>
      </c>
      <c r="T40" s="71">
        <f t="shared" si="2"/>
        <v>11</v>
      </c>
      <c r="U40" s="74">
        <f t="shared" si="33"/>
        <v>6.4200000000000008</v>
      </c>
      <c r="V40" s="73">
        <f>IF(Variable_Management!$B$20=3,2,IF((S40*R40/T40)&lt;((T40*(1-(T40/R40)))/(2*Lm*Fsw)),1,2))</f>
        <v>2</v>
      </c>
      <c r="W40" s="71">
        <f t="shared" si="34"/>
        <v>0.79439252336448596</v>
      </c>
      <c r="X40" s="74">
        <f t="shared" si="35"/>
        <v>0.20560747663551404</v>
      </c>
      <c r="Y40" s="73">
        <f t="shared" si="36"/>
        <v>5.8255451713395638</v>
      </c>
      <c r="Z40" s="71">
        <f t="shared" si="30"/>
        <v>9.3327725856697832</v>
      </c>
      <c r="AA40" s="71">
        <f t="shared" si="31"/>
        <v>6.6366016438091124</v>
      </c>
      <c r="AB40" s="71">
        <v>0</v>
      </c>
      <c r="AC40" s="71">
        <f t="shared" si="37"/>
        <v>0.10130230717080257</v>
      </c>
      <c r="AD40" s="74">
        <f t="shared" si="16"/>
        <v>0.10130230717080257</v>
      </c>
      <c r="AE40" s="73">
        <f t="shared" si="29"/>
        <v>5.1000000000000005</v>
      </c>
      <c r="AF40" s="71">
        <f t="shared" si="17"/>
        <v>5.9151167953501966</v>
      </c>
      <c r="AG40" s="71">
        <f t="shared" si="38"/>
        <v>0.13995442681053594</v>
      </c>
      <c r="AH40" s="71">
        <f t="shared" si="39"/>
        <v>1.823160662261994</v>
      </c>
      <c r="AI40" s="74">
        <f t="shared" si="19"/>
        <v>1.96311508907253</v>
      </c>
      <c r="AJ40" s="73">
        <f t="shared" si="20"/>
        <v>1.3200000000000003</v>
      </c>
      <c r="AK40" s="71">
        <f t="shared" si="40"/>
        <v>3.0092980370803843</v>
      </c>
      <c r="AL40" s="71">
        <f t="shared" si="41"/>
        <v>3.6223498703903415E-2</v>
      </c>
      <c r="AM40" s="71">
        <f t="shared" ref="AM40:AM71" si="48">CHOOSE(V40,(R40+Vd_rect)*Qrr*Fsw,(R40+Vd_rect)*Qrr*Fsw)</f>
        <v>0</v>
      </c>
      <c r="AN40" s="188">
        <f t="shared" si="42"/>
        <v>0.1119932710280374</v>
      </c>
      <c r="AO40" s="74">
        <f t="shared" si="24"/>
        <v>0.14821676973194081</v>
      </c>
      <c r="AP40" s="73">
        <f t="shared" si="43"/>
        <v>6.6066722067914724E-2</v>
      </c>
      <c r="AQ40" s="206">
        <f t="shared" si="44"/>
        <v>0.10130230717080257</v>
      </c>
      <c r="AR40" s="206">
        <f t="shared" si="45"/>
        <v>3.0218089420955812</v>
      </c>
      <c r="AS40" s="71">
        <f t="shared" si="46"/>
        <v>0.12000000000000001</v>
      </c>
      <c r="AT40" s="74">
        <f t="shared" si="47"/>
        <v>3.6299999999999995E-5</v>
      </c>
      <c r="AU40" s="73">
        <f t="shared" si="26"/>
        <v>5.521848437309572</v>
      </c>
      <c r="AV40" s="71">
        <f t="shared" si="27"/>
        <v>70.62</v>
      </c>
      <c r="AW40" s="74">
        <f t="shared" si="28"/>
        <v>92.747945380054801</v>
      </c>
    </row>
    <row r="41" spans="17:49" x14ac:dyDescent="0.25">
      <c r="Q41">
        <v>34</v>
      </c>
      <c r="R41" s="73">
        <f t="shared" si="0"/>
        <v>53.5</v>
      </c>
      <c r="S41" s="71">
        <f t="shared" si="32"/>
        <v>1.36</v>
      </c>
      <c r="T41" s="71">
        <f t="shared" si="2"/>
        <v>11</v>
      </c>
      <c r="U41" s="74">
        <f t="shared" si="33"/>
        <v>6.6145454545454552</v>
      </c>
      <c r="V41" s="73">
        <f>IF(Variable_Management!$B$20=3,2,IF((S41*R41/T41)&lt;((T41*(1-(T41/R41)))/(2*Lm*Fsw)),1,2))</f>
        <v>2</v>
      </c>
      <c r="W41" s="71">
        <f t="shared" si="34"/>
        <v>0.79439252336448596</v>
      </c>
      <c r="X41" s="74">
        <f t="shared" si="35"/>
        <v>0.20560747663551404</v>
      </c>
      <c r="Y41" s="73">
        <f t="shared" si="36"/>
        <v>5.8255451713395638</v>
      </c>
      <c r="Z41" s="71">
        <f t="shared" si="30"/>
        <v>9.5273180402152366</v>
      </c>
      <c r="AA41" s="71">
        <f t="shared" si="31"/>
        <v>6.8249756738656409</v>
      </c>
      <c r="AB41" s="71">
        <v>0</v>
      </c>
      <c r="AC41" s="71">
        <f t="shared" si="37"/>
        <v>0.10713467378237285</v>
      </c>
      <c r="AD41" s="74">
        <f t="shared" si="16"/>
        <v>0.10713467378237285</v>
      </c>
      <c r="AE41" s="73">
        <f t="shared" si="29"/>
        <v>5.2545454545454549</v>
      </c>
      <c r="AF41" s="71">
        <f t="shared" si="17"/>
        <v>6.0830121202164378</v>
      </c>
      <c r="AG41" s="71">
        <f t="shared" si="38"/>
        <v>0.14801214581880032</v>
      </c>
      <c r="AH41" s="71">
        <f t="shared" si="39"/>
        <v>1.8784079550578123</v>
      </c>
      <c r="AI41" s="74">
        <f t="shared" si="19"/>
        <v>2.0264201008766127</v>
      </c>
      <c r="AJ41" s="73">
        <f t="shared" si="20"/>
        <v>1.3600000000000003</v>
      </c>
      <c r="AK41" s="71">
        <f t="shared" si="40"/>
        <v>3.0947142831217338</v>
      </c>
      <c r="AL41" s="71">
        <f t="shared" si="41"/>
        <v>3.8309025976630662E-2</v>
      </c>
      <c r="AM41" s="71">
        <f t="shared" si="48"/>
        <v>0</v>
      </c>
      <c r="AN41" s="188">
        <f t="shared" si="42"/>
        <v>0.11432781648258285</v>
      </c>
      <c r="AO41" s="74">
        <f t="shared" si="24"/>
        <v>0.1526368424592135</v>
      </c>
      <c r="AP41" s="73">
        <f t="shared" si="43"/>
        <v>6.9870439423286648E-2</v>
      </c>
      <c r="AQ41" s="206">
        <f t="shared" si="44"/>
        <v>0.10713467378237285</v>
      </c>
      <c r="AR41" s="206">
        <f t="shared" si="45"/>
        <v>3.0218089420955812</v>
      </c>
      <c r="AS41" s="71">
        <f t="shared" si="46"/>
        <v>0.12000000000000001</v>
      </c>
      <c r="AT41" s="74">
        <f t="shared" si="47"/>
        <v>3.6299999999999995E-5</v>
      </c>
      <c r="AU41" s="73">
        <f t="shared" si="26"/>
        <v>5.60504197241944</v>
      </c>
      <c r="AV41" s="71">
        <f t="shared" si="27"/>
        <v>72.760000000000005</v>
      </c>
      <c r="AW41" s="74">
        <f t="shared" si="28"/>
        <v>92.847522528741663</v>
      </c>
    </row>
    <row r="42" spans="17:49" x14ac:dyDescent="0.25">
      <c r="Q42">
        <v>35</v>
      </c>
      <c r="R42" s="73">
        <f t="shared" si="0"/>
        <v>53.5</v>
      </c>
      <c r="S42" s="71">
        <f t="shared" si="32"/>
        <v>1.4000000000000001</v>
      </c>
      <c r="T42" s="71">
        <f t="shared" si="2"/>
        <v>11</v>
      </c>
      <c r="U42" s="74">
        <f t="shared" si="33"/>
        <v>6.8090909090909095</v>
      </c>
      <c r="V42" s="73">
        <f>IF(Variable_Management!$B$20=3,2,IF((S42*R42/T42)&lt;((T42*(1-(T42/R42)))/(2*Lm*Fsw)),1,2))</f>
        <v>2</v>
      </c>
      <c r="W42" s="71">
        <f t="shared" si="34"/>
        <v>0.79439252336448596</v>
      </c>
      <c r="X42" s="74">
        <f t="shared" si="35"/>
        <v>0.20560747663551404</v>
      </c>
      <c r="Y42" s="73">
        <f t="shared" si="36"/>
        <v>5.8255451713395638</v>
      </c>
      <c r="Z42" s="71">
        <f t="shared" si="30"/>
        <v>9.7218634947606919</v>
      </c>
      <c r="AA42" s="71">
        <f t="shared" si="31"/>
        <v>7.0136866473256614</v>
      </c>
      <c r="AB42" s="71">
        <v>0</v>
      </c>
      <c r="AC42" s="71">
        <f t="shared" si="37"/>
        <v>0.11314114088981084</v>
      </c>
      <c r="AD42" s="74">
        <f t="shared" si="16"/>
        <v>0.11314114088981084</v>
      </c>
      <c r="AE42" s="73">
        <f t="shared" si="29"/>
        <v>5.4090909090909092</v>
      </c>
      <c r="AF42" s="71">
        <f t="shared" si="17"/>
        <v>6.2512077583592713</v>
      </c>
      <c r="AG42" s="71">
        <f t="shared" si="38"/>
        <v>0.15631039375268457</v>
      </c>
      <c r="AH42" s="71">
        <f t="shared" si="39"/>
        <v>1.9336552478536304</v>
      </c>
      <c r="AI42" s="74">
        <f t="shared" si="19"/>
        <v>2.089965641606315</v>
      </c>
      <c r="AJ42" s="73">
        <f t="shared" si="20"/>
        <v>1.4000000000000004</v>
      </c>
      <c r="AK42" s="71">
        <f t="shared" si="40"/>
        <v>3.1802833126473375</v>
      </c>
      <c r="AL42" s="71">
        <f t="shared" si="41"/>
        <v>4.0456807794812491E-2</v>
      </c>
      <c r="AM42" s="71">
        <f t="shared" si="48"/>
        <v>0</v>
      </c>
      <c r="AN42" s="188">
        <f t="shared" si="42"/>
        <v>0.11666236193712831</v>
      </c>
      <c r="AO42" s="74">
        <f t="shared" si="24"/>
        <v>0.15711916973194079</v>
      </c>
      <c r="AP42" s="73">
        <f t="shared" si="43"/>
        <v>7.3787700580311422E-2</v>
      </c>
      <c r="AQ42" s="206">
        <f t="shared" si="44"/>
        <v>0.11314114088981084</v>
      </c>
      <c r="AR42" s="206">
        <f t="shared" si="45"/>
        <v>3.0218089420955812</v>
      </c>
      <c r="AS42" s="71">
        <f t="shared" si="46"/>
        <v>0.12000000000000001</v>
      </c>
      <c r="AT42" s="74">
        <f t="shared" si="47"/>
        <v>3.6299999999999995E-5</v>
      </c>
      <c r="AU42" s="73">
        <f t="shared" si="26"/>
        <v>5.6890000357937698</v>
      </c>
      <c r="AV42" s="71">
        <f t="shared" si="27"/>
        <v>74.900000000000006</v>
      </c>
      <c r="AW42" s="74">
        <f t="shared" si="28"/>
        <v>92.940723878858179</v>
      </c>
    </row>
    <row r="43" spans="17:49" x14ac:dyDescent="0.25">
      <c r="Q43">
        <v>36</v>
      </c>
      <c r="R43" s="73">
        <f t="shared" si="0"/>
        <v>53.5</v>
      </c>
      <c r="S43" s="71">
        <f t="shared" si="32"/>
        <v>1.44</v>
      </c>
      <c r="T43" s="71">
        <f t="shared" si="2"/>
        <v>11</v>
      </c>
      <c r="U43" s="74">
        <f t="shared" si="33"/>
        <v>7.003636363636363</v>
      </c>
      <c r="V43" s="73">
        <f>IF(Variable_Management!$B$20=3,2,IF((S43*R43/T43)&lt;((T43*(1-(T43/R43)))/(2*Lm*Fsw)),1,2))</f>
        <v>2</v>
      </c>
      <c r="W43" s="71">
        <f t="shared" si="34"/>
        <v>0.79439252336448596</v>
      </c>
      <c r="X43" s="74">
        <f t="shared" si="35"/>
        <v>0.20560747663551404</v>
      </c>
      <c r="Y43" s="73">
        <f t="shared" si="36"/>
        <v>5.8255451713395638</v>
      </c>
      <c r="Z43" s="71">
        <f t="shared" si="30"/>
        <v>9.9164089493061454</v>
      </c>
      <c r="AA43" s="71">
        <f t="shared" si="31"/>
        <v>7.2027080804832977</v>
      </c>
      <c r="AB43" s="71">
        <v>0</v>
      </c>
      <c r="AC43" s="71">
        <f t="shared" si="37"/>
        <v>0.11932170849311659</v>
      </c>
      <c r="AD43" s="74">
        <f t="shared" si="16"/>
        <v>0.11932170849311659</v>
      </c>
      <c r="AE43" s="73">
        <f t="shared" si="29"/>
        <v>5.5636363636363626</v>
      </c>
      <c r="AF43" s="71">
        <f t="shared" si="17"/>
        <v>6.419680105195833</v>
      </c>
      <c r="AG43" s="71">
        <f t="shared" si="38"/>
        <v>0.16484917061218871</v>
      </c>
      <c r="AH43" s="71">
        <f t="shared" si="39"/>
        <v>1.988902540649448</v>
      </c>
      <c r="AI43" s="74">
        <f t="shared" si="19"/>
        <v>2.1537517112616369</v>
      </c>
      <c r="AJ43" s="73">
        <f t="shared" si="20"/>
        <v>1.44</v>
      </c>
      <c r="AK43" s="71">
        <f t="shared" si="40"/>
        <v>3.2659931168960252</v>
      </c>
      <c r="AL43" s="71">
        <f t="shared" si="41"/>
        <v>4.2666844158448854E-2</v>
      </c>
      <c r="AM43" s="71">
        <f t="shared" si="48"/>
        <v>0</v>
      </c>
      <c r="AN43" s="188">
        <f t="shared" si="42"/>
        <v>0.11899690739167375</v>
      </c>
      <c r="AO43" s="74">
        <f t="shared" si="24"/>
        <v>0.16166375155012261</v>
      </c>
      <c r="AP43" s="73">
        <f t="shared" si="43"/>
        <v>7.7818505538989086E-2</v>
      </c>
      <c r="AQ43" s="206">
        <f t="shared" si="44"/>
        <v>0.11932170849311659</v>
      </c>
      <c r="AR43" s="206">
        <f t="shared" si="45"/>
        <v>3.0218089420955812</v>
      </c>
      <c r="AS43" s="71">
        <f t="shared" si="46"/>
        <v>0.12000000000000001</v>
      </c>
      <c r="AT43" s="74">
        <f t="shared" si="47"/>
        <v>3.6299999999999995E-5</v>
      </c>
      <c r="AU43" s="73">
        <f t="shared" si="26"/>
        <v>5.7737226274325621</v>
      </c>
      <c r="AV43" s="71">
        <f t="shared" si="27"/>
        <v>77.039999999999992</v>
      </c>
      <c r="AW43" s="74">
        <f t="shared" si="28"/>
        <v>93.028060514309047</v>
      </c>
    </row>
    <row r="44" spans="17:49" x14ac:dyDescent="0.25">
      <c r="Q44">
        <v>37</v>
      </c>
      <c r="R44" s="73">
        <f t="shared" si="0"/>
        <v>53.5</v>
      </c>
      <c r="S44" s="71">
        <f t="shared" si="32"/>
        <v>1.48</v>
      </c>
      <c r="T44" s="71">
        <f t="shared" si="2"/>
        <v>11</v>
      </c>
      <c r="U44" s="74">
        <f t="shared" si="33"/>
        <v>7.1981818181818173</v>
      </c>
      <c r="V44" s="73">
        <f>IF(Variable_Management!$B$20=3,2,IF((S44*R44/T44)&lt;((T44*(1-(T44/R44)))/(2*Lm*Fsw)),1,2))</f>
        <v>2</v>
      </c>
      <c r="W44" s="71">
        <f t="shared" si="34"/>
        <v>0.79439252336448596</v>
      </c>
      <c r="X44" s="74">
        <f t="shared" si="35"/>
        <v>0.20560747663551404</v>
      </c>
      <c r="Y44" s="73">
        <f t="shared" si="36"/>
        <v>5.8255451713395638</v>
      </c>
      <c r="Z44" s="71">
        <f t="shared" si="30"/>
        <v>10.110954403851599</v>
      </c>
      <c r="AA44" s="71">
        <f t="shared" si="31"/>
        <v>7.3920161570584453</v>
      </c>
      <c r="AB44" s="71">
        <v>0</v>
      </c>
      <c r="AC44" s="71">
        <f t="shared" si="37"/>
        <v>0.12567637659229014</v>
      </c>
      <c r="AD44" s="74">
        <f t="shared" si="16"/>
        <v>0.12567637659229014</v>
      </c>
      <c r="AE44" s="73">
        <f t="shared" si="29"/>
        <v>5.7181818181818169</v>
      </c>
      <c r="AF44" s="71">
        <f t="shared" si="17"/>
        <v>6.5884079335851817</v>
      </c>
      <c r="AG44" s="71">
        <f t="shared" si="38"/>
        <v>0.17362847639731266</v>
      </c>
      <c r="AH44" s="71">
        <f t="shared" si="39"/>
        <v>2.0441498334452661</v>
      </c>
      <c r="AI44" s="74">
        <f t="shared" si="19"/>
        <v>2.2177783098425787</v>
      </c>
      <c r="AJ44" s="73">
        <f t="shared" si="20"/>
        <v>1.48</v>
      </c>
      <c r="AK44" s="71">
        <f t="shared" si="40"/>
        <v>3.3518328966231206</v>
      </c>
      <c r="AL44" s="71">
        <f t="shared" si="41"/>
        <v>4.493913506753975E-2</v>
      </c>
      <c r="AM44" s="71">
        <f t="shared" si="48"/>
        <v>0</v>
      </c>
      <c r="AN44" s="188">
        <f t="shared" si="42"/>
        <v>0.12133145284621918</v>
      </c>
      <c r="AO44" s="74">
        <f t="shared" si="24"/>
        <v>0.16627058791375893</v>
      </c>
      <c r="AP44" s="73">
        <f t="shared" si="43"/>
        <v>8.1962854299319668E-2</v>
      </c>
      <c r="AQ44" s="206">
        <f t="shared" si="44"/>
        <v>0.12567637659229014</v>
      </c>
      <c r="AR44" s="206">
        <f t="shared" si="45"/>
        <v>3.0218089420955812</v>
      </c>
      <c r="AS44" s="71">
        <f t="shared" si="46"/>
        <v>0.12000000000000001</v>
      </c>
      <c r="AT44" s="74">
        <f t="shared" si="47"/>
        <v>3.6299999999999995E-5</v>
      </c>
      <c r="AU44" s="73">
        <f t="shared" si="26"/>
        <v>5.8592097473358189</v>
      </c>
      <c r="AV44" s="71">
        <f t="shared" si="27"/>
        <v>79.179999999999993</v>
      </c>
      <c r="AW44" s="74">
        <f t="shared" si="28"/>
        <v>93.109990362393518</v>
      </c>
    </row>
    <row r="45" spans="17:49" x14ac:dyDescent="0.25">
      <c r="Q45">
        <v>38</v>
      </c>
      <c r="R45" s="73">
        <f t="shared" si="0"/>
        <v>53.5</v>
      </c>
      <c r="S45" s="71">
        <f t="shared" si="32"/>
        <v>1.52</v>
      </c>
      <c r="T45" s="71">
        <f t="shared" si="2"/>
        <v>11</v>
      </c>
      <c r="U45" s="74">
        <f t="shared" si="33"/>
        <v>7.3927272727272735</v>
      </c>
      <c r="V45" s="73">
        <f>IF(Variable_Management!$B$20=3,2,IF((S45*R45/T45)&lt;((T45*(1-(T45/R45)))/(2*Lm*Fsw)),1,2))</f>
        <v>2</v>
      </c>
      <c r="W45" s="71">
        <f t="shared" si="34"/>
        <v>0.79439252336448596</v>
      </c>
      <c r="X45" s="74">
        <f t="shared" si="35"/>
        <v>0.20560747663551404</v>
      </c>
      <c r="Y45" s="73">
        <f t="shared" si="36"/>
        <v>5.8255451713395638</v>
      </c>
      <c r="Z45" s="71">
        <f t="shared" si="30"/>
        <v>10.305499858397056</v>
      </c>
      <c r="AA45" s="71">
        <f t="shared" si="31"/>
        <v>7.5815894051007167</v>
      </c>
      <c r="AB45" s="71">
        <v>0</v>
      </c>
      <c r="AC45" s="71">
        <f t="shared" si="37"/>
        <v>0.13220514518733151</v>
      </c>
      <c r="AD45" s="74">
        <f t="shared" si="16"/>
        <v>0.13220514518733151</v>
      </c>
      <c r="AE45" s="73">
        <f t="shared" si="29"/>
        <v>5.872727272727273</v>
      </c>
      <c r="AF45" s="71">
        <f t="shared" si="17"/>
        <v>6.75737210585699</v>
      </c>
      <c r="AG45" s="71">
        <f t="shared" si="38"/>
        <v>0.18264831110805654</v>
      </c>
      <c r="AH45" s="71">
        <f t="shared" si="39"/>
        <v>2.0993971262410844</v>
      </c>
      <c r="AI45" s="74">
        <f t="shared" si="19"/>
        <v>2.282045437349141</v>
      </c>
      <c r="AJ45" s="73">
        <f t="shared" si="20"/>
        <v>1.5200000000000002</v>
      </c>
      <c r="AK45" s="71">
        <f t="shared" si="40"/>
        <v>3.4377929155958924</v>
      </c>
      <c r="AL45" s="71">
        <f t="shared" si="41"/>
        <v>4.7273680522085228E-2</v>
      </c>
      <c r="AM45" s="71">
        <f t="shared" si="48"/>
        <v>0</v>
      </c>
      <c r="AN45" s="188">
        <f t="shared" si="42"/>
        <v>0.12366599830076468</v>
      </c>
      <c r="AO45" s="74">
        <f t="shared" si="24"/>
        <v>0.17093967882284991</v>
      </c>
      <c r="AP45" s="73">
        <f t="shared" si="43"/>
        <v>8.6220746861303155E-2</v>
      </c>
      <c r="AQ45" s="206">
        <f t="shared" si="44"/>
        <v>0.13220514518733151</v>
      </c>
      <c r="AR45" s="206">
        <f t="shared" si="45"/>
        <v>3.0218089420955812</v>
      </c>
      <c r="AS45" s="71">
        <f t="shared" si="46"/>
        <v>0.12000000000000001</v>
      </c>
      <c r="AT45" s="74">
        <f t="shared" si="47"/>
        <v>3.6299999999999995E-5</v>
      </c>
      <c r="AU45" s="73">
        <f t="shared" si="26"/>
        <v>5.9454613955035382</v>
      </c>
      <c r="AV45" s="71">
        <f t="shared" si="27"/>
        <v>81.320000000000007</v>
      </c>
      <c r="AW45" s="74">
        <f t="shared" si="28"/>
        <v>93.186924929488896</v>
      </c>
    </row>
    <row r="46" spans="17:49" x14ac:dyDescent="0.25">
      <c r="Q46">
        <v>39</v>
      </c>
      <c r="R46" s="73">
        <f t="shared" si="0"/>
        <v>53.5</v>
      </c>
      <c r="S46" s="71">
        <f t="shared" si="32"/>
        <v>1.56</v>
      </c>
      <c r="T46" s="71">
        <f t="shared" si="2"/>
        <v>11</v>
      </c>
      <c r="U46" s="74">
        <f t="shared" si="33"/>
        <v>7.5872727272727278</v>
      </c>
      <c r="V46" s="73">
        <f>IF(Variable_Management!$B$20=3,2,IF((S46*R46/T46)&lt;((T46*(1-(T46/R46)))/(2*Lm*Fsw)),1,2))</f>
        <v>2</v>
      </c>
      <c r="W46" s="71">
        <f t="shared" si="34"/>
        <v>0.79439252336448596</v>
      </c>
      <c r="X46" s="74">
        <f t="shared" si="35"/>
        <v>0.20560747663551404</v>
      </c>
      <c r="Y46" s="73">
        <f t="shared" si="36"/>
        <v>5.8255451713395638</v>
      </c>
      <c r="Z46" s="71">
        <f t="shared" si="30"/>
        <v>10.500045312942509</v>
      </c>
      <c r="AA46" s="71">
        <f t="shared" si="31"/>
        <v>7.7714084191108075</v>
      </c>
      <c r="AB46" s="71">
        <v>0</v>
      </c>
      <c r="AC46" s="71">
        <f t="shared" si="37"/>
        <v>0.13890801427824057</v>
      </c>
      <c r="AD46" s="74">
        <f t="shared" si="16"/>
        <v>0.13890801427824057</v>
      </c>
      <c r="AE46" s="73">
        <f t="shared" si="29"/>
        <v>6.0272727272727273</v>
      </c>
      <c r="AF46" s="71">
        <f t="shared" si="17"/>
        <v>6.9265553261419219</v>
      </c>
      <c r="AG46" s="71">
        <f t="shared" si="38"/>
        <v>0.19190867474442011</v>
      </c>
      <c r="AH46" s="71">
        <f t="shared" si="39"/>
        <v>2.1546444190369023</v>
      </c>
      <c r="AI46" s="74">
        <f t="shared" si="19"/>
        <v>2.3465530937813224</v>
      </c>
      <c r="AJ46" s="73">
        <f t="shared" si="20"/>
        <v>1.5600000000000003</v>
      </c>
      <c r="AK46" s="71">
        <f t="shared" si="40"/>
        <v>3.5238643745923741</v>
      </c>
      <c r="AL46" s="71">
        <f t="shared" si="41"/>
        <v>4.9670480522085211E-2</v>
      </c>
      <c r="AM46" s="71">
        <f t="shared" si="48"/>
        <v>0</v>
      </c>
      <c r="AN46" s="188">
        <f t="shared" si="42"/>
        <v>0.12600054375531011</v>
      </c>
      <c r="AO46" s="74">
        <f t="shared" si="24"/>
        <v>0.17567102427739534</v>
      </c>
      <c r="AP46" s="73">
        <f t="shared" si="43"/>
        <v>9.0592183224939504E-2</v>
      </c>
      <c r="AQ46" s="206">
        <f t="shared" si="44"/>
        <v>0.13890801427824057</v>
      </c>
      <c r="AR46" s="206">
        <f t="shared" si="45"/>
        <v>3.0218089420955812</v>
      </c>
      <c r="AS46" s="71">
        <f t="shared" si="46"/>
        <v>0.12000000000000001</v>
      </c>
      <c r="AT46" s="74">
        <f t="shared" si="47"/>
        <v>3.6299999999999995E-5</v>
      </c>
      <c r="AU46" s="73">
        <f t="shared" si="26"/>
        <v>6.0324775719357202</v>
      </c>
      <c r="AV46" s="71">
        <f t="shared" si="27"/>
        <v>83.460000000000008</v>
      </c>
      <c r="AW46" s="74">
        <f t="shared" si="28"/>
        <v>93.259235037842487</v>
      </c>
    </row>
    <row r="47" spans="17:49" x14ac:dyDescent="0.25">
      <c r="Q47">
        <v>40</v>
      </c>
      <c r="R47" s="73">
        <f t="shared" si="0"/>
        <v>53.5</v>
      </c>
      <c r="S47" s="71">
        <f t="shared" si="32"/>
        <v>1.6</v>
      </c>
      <c r="T47" s="71">
        <f t="shared" si="2"/>
        <v>11</v>
      </c>
      <c r="U47" s="74">
        <f t="shared" si="33"/>
        <v>7.7818181818181822</v>
      </c>
      <c r="V47" s="73">
        <f>IF(Variable_Management!$B$20=3,2,IF((S47*R47/T47)&lt;((T47*(1-(T47/R47)))/(2*Lm*Fsw)),1,2))</f>
        <v>2</v>
      </c>
      <c r="W47" s="71">
        <f t="shared" si="34"/>
        <v>0.79439252336448596</v>
      </c>
      <c r="X47" s="74">
        <f t="shared" si="35"/>
        <v>0.20560747663551404</v>
      </c>
      <c r="Y47" s="73">
        <f t="shared" si="36"/>
        <v>5.8255451713395638</v>
      </c>
      <c r="Z47" s="71">
        <f t="shared" si="30"/>
        <v>10.694590767487965</v>
      </c>
      <c r="AA47" s="71">
        <f t="shared" si="31"/>
        <v>7.9614556202673041</v>
      </c>
      <c r="AB47" s="71">
        <v>0</v>
      </c>
      <c r="AC47" s="71">
        <f t="shared" si="37"/>
        <v>0.14578498386501743</v>
      </c>
      <c r="AD47" s="74">
        <f t="shared" si="16"/>
        <v>0.14578498386501743</v>
      </c>
      <c r="AE47" s="73">
        <f t="shared" si="29"/>
        <v>6.1818181818181817</v>
      </c>
      <c r="AF47" s="71">
        <f t="shared" si="17"/>
        <v>7.09594192666491</v>
      </c>
      <c r="AG47" s="71">
        <f t="shared" si="38"/>
        <v>0.20140956730640366</v>
      </c>
      <c r="AH47" s="71">
        <f t="shared" si="39"/>
        <v>2.2098917118327202</v>
      </c>
      <c r="AI47" s="74">
        <f t="shared" si="19"/>
        <v>2.4113012791391237</v>
      </c>
      <c r="AJ47" s="73">
        <f t="shared" si="20"/>
        <v>1.6000000000000003</v>
      </c>
      <c r="AK47" s="71">
        <f t="shared" si="40"/>
        <v>3.6100393026787043</v>
      </c>
      <c r="AL47" s="71">
        <f t="shared" si="41"/>
        <v>5.2129535067539784E-2</v>
      </c>
      <c r="AM47" s="71">
        <f t="shared" si="48"/>
        <v>0</v>
      </c>
      <c r="AN47" s="188">
        <f t="shared" si="42"/>
        <v>0.12833508920985559</v>
      </c>
      <c r="AO47" s="74">
        <f t="shared" si="24"/>
        <v>0.18046462427739537</v>
      </c>
      <c r="AP47" s="73">
        <f t="shared" si="43"/>
        <v>9.5077163390228758E-2</v>
      </c>
      <c r="AQ47" s="206">
        <f t="shared" si="44"/>
        <v>0.14578498386501743</v>
      </c>
      <c r="AR47" s="206">
        <f t="shared" si="45"/>
        <v>3.0218089420955812</v>
      </c>
      <c r="AS47" s="71">
        <f t="shared" si="46"/>
        <v>0.12000000000000001</v>
      </c>
      <c r="AT47" s="74">
        <f t="shared" si="47"/>
        <v>3.6299999999999995E-5</v>
      </c>
      <c r="AU47" s="73">
        <f t="shared" si="26"/>
        <v>6.1202582766323639</v>
      </c>
      <c r="AV47" s="71">
        <f t="shared" si="27"/>
        <v>85.600000000000009</v>
      </c>
      <c r="AW47" s="74">
        <f t="shared" si="28"/>
        <v>93.327255732126929</v>
      </c>
    </row>
    <row r="48" spans="17:49" x14ac:dyDescent="0.25">
      <c r="Q48">
        <v>41</v>
      </c>
      <c r="R48" s="73">
        <f t="shared" si="0"/>
        <v>53.5</v>
      </c>
      <c r="S48" s="71">
        <f t="shared" si="32"/>
        <v>1.6400000000000001</v>
      </c>
      <c r="T48" s="71">
        <f t="shared" si="2"/>
        <v>11</v>
      </c>
      <c r="U48" s="74">
        <f t="shared" si="33"/>
        <v>7.9763636363636374</v>
      </c>
      <c r="V48" s="73">
        <f>IF(Variable_Management!$B$20=3,2,IF((S48*R48/T48)&lt;((T48*(1-(T48/R48)))/(2*Lm*Fsw)),1,2))</f>
        <v>2</v>
      </c>
      <c r="W48" s="71">
        <f t="shared" si="34"/>
        <v>0.79439252336448596</v>
      </c>
      <c r="X48" s="74">
        <f t="shared" si="35"/>
        <v>0.20560747663551404</v>
      </c>
      <c r="Y48" s="73">
        <f t="shared" si="36"/>
        <v>5.8255451713395638</v>
      </c>
      <c r="Z48" s="71">
        <f t="shared" si="30"/>
        <v>10.88913622203342</v>
      </c>
      <c r="AA48" s="71">
        <f t="shared" si="31"/>
        <v>8.1517150488786072</v>
      </c>
      <c r="AB48" s="71">
        <v>0</v>
      </c>
      <c r="AC48" s="71">
        <f t="shared" si="37"/>
        <v>0.15283605394766209</v>
      </c>
      <c r="AD48" s="74">
        <f t="shared" si="16"/>
        <v>0.15283605394766209</v>
      </c>
      <c r="AE48" s="73">
        <f t="shared" si="29"/>
        <v>6.3363636363636369</v>
      </c>
      <c r="AF48" s="71">
        <f t="shared" si="17"/>
        <v>7.2655176827602403</v>
      </c>
      <c r="AG48" s="71">
        <f t="shared" si="38"/>
        <v>0.21115098879400693</v>
      </c>
      <c r="AH48" s="71">
        <f t="shared" si="39"/>
        <v>2.2651390046285385</v>
      </c>
      <c r="AI48" s="74">
        <f t="shared" si="19"/>
        <v>2.4762899934225455</v>
      </c>
      <c r="AJ48" s="73">
        <f t="shared" si="20"/>
        <v>1.6400000000000003</v>
      </c>
      <c r="AK48" s="71">
        <f t="shared" si="40"/>
        <v>3.6963104630986039</v>
      </c>
      <c r="AL48" s="71">
        <f t="shared" si="41"/>
        <v>5.4650844158448862E-2</v>
      </c>
      <c r="AM48" s="71">
        <f t="shared" si="48"/>
        <v>0</v>
      </c>
      <c r="AN48" s="188">
        <f t="shared" si="42"/>
        <v>0.13066963466440104</v>
      </c>
      <c r="AO48" s="74">
        <f t="shared" si="24"/>
        <v>0.18532047882284991</v>
      </c>
      <c r="AP48" s="73">
        <f t="shared" si="43"/>
        <v>9.9675687357170931E-2</v>
      </c>
      <c r="AQ48" s="206">
        <f t="shared" si="44"/>
        <v>0.15283605394766209</v>
      </c>
      <c r="AR48" s="206">
        <f t="shared" si="45"/>
        <v>3.0218089420955812</v>
      </c>
      <c r="AS48" s="71">
        <f t="shared" si="46"/>
        <v>0.12000000000000001</v>
      </c>
      <c r="AT48" s="74">
        <f t="shared" si="47"/>
        <v>3.6299999999999995E-5</v>
      </c>
      <c r="AU48" s="73">
        <f t="shared" si="26"/>
        <v>6.2088035095934719</v>
      </c>
      <c r="AV48" s="71">
        <f t="shared" si="27"/>
        <v>87.740000000000009</v>
      </c>
      <c r="AW48" s="74">
        <f t="shared" si="28"/>
        <v>93.391290492635747</v>
      </c>
    </row>
    <row r="49" spans="17:49" x14ac:dyDescent="0.25">
      <c r="Q49">
        <v>42</v>
      </c>
      <c r="R49" s="73">
        <f t="shared" si="0"/>
        <v>53.5</v>
      </c>
      <c r="S49" s="71">
        <f t="shared" si="32"/>
        <v>1.68</v>
      </c>
      <c r="T49" s="71">
        <f t="shared" si="2"/>
        <v>11</v>
      </c>
      <c r="U49" s="74">
        <f t="shared" si="33"/>
        <v>8.17090909090909</v>
      </c>
      <c r="V49" s="73">
        <f>IF(Variable_Management!$B$20=3,2,IF((S49*R49/T49)&lt;((T49*(1-(T49/R49)))/(2*Lm*Fsw)),1,2))</f>
        <v>2</v>
      </c>
      <c r="W49" s="71">
        <f t="shared" si="34"/>
        <v>0.79439252336448596</v>
      </c>
      <c r="X49" s="74">
        <f t="shared" si="35"/>
        <v>0.20560747663551404</v>
      </c>
      <c r="Y49" s="73">
        <f t="shared" si="36"/>
        <v>5.8255451713395638</v>
      </c>
      <c r="Z49" s="71">
        <f t="shared" si="30"/>
        <v>11.083681676578871</v>
      </c>
      <c r="AA49" s="71">
        <f t="shared" si="31"/>
        <v>8.3421721841802459</v>
      </c>
      <c r="AB49" s="71">
        <v>0</v>
      </c>
      <c r="AC49" s="71">
        <f t="shared" si="37"/>
        <v>0.16006122452617441</v>
      </c>
      <c r="AD49" s="74">
        <f t="shared" si="16"/>
        <v>0.16006122452617441</v>
      </c>
      <c r="AE49" s="73">
        <f t="shared" si="29"/>
        <v>6.4909090909090903</v>
      </c>
      <c r="AF49" s="71">
        <f t="shared" si="17"/>
        <v>7.4352696522592563</v>
      </c>
      <c r="AG49" s="71">
        <f t="shared" si="38"/>
        <v>0.22113293920722993</v>
      </c>
      <c r="AH49" s="71">
        <f t="shared" si="39"/>
        <v>2.3203862974243559</v>
      </c>
      <c r="AI49" s="74">
        <f t="shared" si="19"/>
        <v>2.541519236631586</v>
      </c>
      <c r="AJ49" s="73">
        <f t="shared" si="20"/>
        <v>1.68</v>
      </c>
      <c r="AK49" s="71">
        <f t="shared" si="40"/>
        <v>3.7826712715623483</v>
      </c>
      <c r="AL49" s="71">
        <f t="shared" si="41"/>
        <v>5.7234407794812446E-2</v>
      </c>
      <c r="AM49" s="71">
        <f t="shared" si="48"/>
        <v>0</v>
      </c>
      <c r="AN49" s="188">
        <f t="shared" si="42"/>
        <v>0.13300418011894646</v>
      </c>
      <c r="AO49" s="74">
        <f t="shared" si="24"/>
        <v>0.19023858791375892</v>
      </c>
      <c r="AP49" s="73">
        <f t="shared" si="43"/>
        <v>0.10438775512576591</v>
      </c>
      <c r="AQ49" s="206">
        <f t="shared" si="44"/>
        <v>0.16006122452617441</v>
      </c>
      <c r="AR49" s="206">
        <f t="shared" si="45"/>
        <v>3.0218089420955812</v>
      </c>
      <c r="AS49" s="71">
        <f t="shared" si="46"/>
        <v>0.12000000000000001</v>
      </c>
      <c r="AT49" s="74">
        <f t="shared" si="47"/>
        <v>3.6299999999999995E-5</v>
      </c>
      <c r="AU49" s="73">
        <f t="shared" si="26"/>
        <v>6.2981132708190408</v>
      </c>
      <c r="AV49" s="71">
        <f t="shared" si="27"/>
        <v>89.88</v>
      </c>
      <c r="AW49" s="74">
        <f t="shared" si="28"/>
        <v>93.451614866799503</v>
      </c>
    </row>
    <row r="50" spans="17:49" x14ac:dyDescent="0.25">
      <c r="Q50">
        <v>43</v>
      </c>
      <c r="R50" s="73">
        <f t="shared" si="0"/>
        <v>53.5</v>
      </c>
      <c r="S50" s="71">
        <f t="shared" si="32"/>
        <v>1.72</v>
      </c>
      <c r="T50" s="71">
        <f t="shared" si="2"/>
        <v>11</v>
      </c>
      <c r="U50" s="74">
        <f t="shared" si="33"/>
        <v>8.3654545454545453</v>
      </c>
      <c r="V50" s="73">
        <f>IF(Variable_Management!$B$20=3,2,IF((S50*R50/T50)&lt;((T50*(1-(T50/R50)))/(2*Lm*Fsw)),1,2))</f>
        <v>2</v>
      </c>
      <c r="W50" s="71">
        <f t="shared" si="34"/>
        <v>0.79439252336448596</v>
      </c>
      <c r="X50" s="74">
        <f t="shared" si="35"/>
        <v>0.20560747663551404</v>
      </c>
      <c r="Y50" s="73">
        <f t="shared" si="36"/>
        <v>5.8255451713395638</v>
      </c>
      <c r="Z50" s="71">
        <f t="shared" si="30"/>
        <v>11.278227131124327</v>
      </c>
      <c r="AA50" s="71">
        <f t="shared" si="31"/>
        <v>8.5328137874136178</v>
      </c>
      <c r="AB50" s="71">
        <v>0</v>
      </c>
      <c r="AC50" s="71">
        <f t="shared" si="37"/>
        <v>0.16746049560055462</v>
      </c>
      <c r="AD50" s="74">
        <f t="shared" si="16"/>
        <v>0.16746049560055462</v>
      </c>
      <c r="AE50" s="73">
        <f t="shared" si="29"/>
        <v>6.6454545454545455</v>
      </c>
      <c r="AF50" s="71">
        <f t="shared" si="17"/>
        <v>7.6051860356284671</v>
      </c>
      <c r="AG50" s="71">
        <f t="shared" si="38"/>
        <v>0.23135541854607297</v>
      </c>
      <c r="AH50" s="71">
        <f t="shared" si="39"/>
        <v>2.3756335902201742</v>
      </c>
      <c r="AI50" s="74">
        <f t="shared" si="19"/>
        <v>2.6069890087662473</v>
      </c>
      <c r="AJ50" s="73">
        <f t="shared" si="20"/>
        <v>1.7200000000000002</v>
      </c>
      <c r="AK50" s="71">
        <f t="shared" si="40"/>
        <v>3.8691157250924482</v>
      </c>
      <c r="AL50" s="71">
        <f t="shared" si="41"/>
        <v>5.988022597663064E-2</v>
      </c>
      <c r="AM50" s="71">
        <f t="shared" si="48"/>
        <v>0</v>
      </c>
      <c r="AN50" s="188">
        <f t="shared" si="42"/>
        <v>0.13533872557349191</v>
      </c>
      <c r="AO50" s="74">
        <f t="shared" si="24"/>
        <v>0.19521895155012256</v>
      </c>
      <c r="AP50" s="73">
        <f t="shared" si="43"/>
        <v>0.10921336669601389</v>
      </c>
      <c r="AQ50" s="206">
        <f t="shared" si="44"/>
        <v>0.16746049560055462</v>
      </c>
      <c r="AR50" s="206">
        <f t="shared" si="45"/>
        <v>3.0218089420955812</v>
      </c>
      <c r="AS50" s="71">
        <f t="shared" si="46"/>
        <v>0.12000000000000001</v>
      </c>
      <c r="AT50" s="74">
        <f t="shared" si="47"/>
        <v>3.6299999999999995E-5</v>
      </c>
      <c r="AU50" s="73">
        <f t="shared" si="26"/>
        <v>6.3881875603090741</v>
      </c>
      <c r="AV50" s="71">
        <f t="shared" si="27"/>
        <v>92.02</v>
      </c>
      <c r="AW50" s="74">
        <f t="shared" si="28"/>
        <v>93.508479610607495</v>
      </c>
    </row>
    <row r="51" spans="17:49" x14ac:dyDescent="0.25">
      <c r="Q51">
        <v>44</v>
      </c>
      <c r="R51" s="73">
        <f t="shared" si="0"/>
        <v>53.5</v>
      </c>
      <c r="S51" s="71">
        <f t="shared" si="32"/>
        <v>1.76</v>
      </c>
      <c r="T51" s="71">
        <f t="shared" si="2"/>
        <v>11</v>
      </c>
      <c r="U51" s="74">
        <f t="shared" si="33"/>
        <v>8.56</v>
      </c>
      <c r="V51" s="73">
        <f>IF(Variable_Management!$B$20=3,2,IF((S51*R51/T51)&lt;((T51*(1-(T51/R51)))/(2*Lm*Fsw)),1,2))</f>
        <v>2</v>
      </c>
      <c r="W51" s="71">
        <f t="shared" si="34"/>
        <v>0.79439252336448596</v>
      </c>
      <c r="X51" s="74">
        <f t="shared" si="35"/>
        <v>0.20560747663551404</v>
      </c>
      <c r="Y51" s="73">
        <f t="shared" si="36"/>
        <v>5.8255451713395638</v>
      </c>
      <c r="Z51" s="71">
        <f t="shared" si="30"/>
        <v>11.472772585669782</v>
      </c>
      <c r="AA51" s="71">
        <f t="shared" si="31"/>
        <v>8.723627764789704</v>
      </c>
      <c r="AB51" s="71">
        <v>0</v>
      </c>
      <c r="AC51" s="71">
        <f t="shared" si="37"/>
        <v>0.17503386717080258</v>
      </c>
      <c r="AD51" s="74">
        <f t="shared" si="16"/>
        <v>0.17503386717080258</v>
      </c>
      <c r="AE51" s="73">
        <f t="shared" si="29"/>
        <v>6.8</v>
      </c>
      <c r="AF51" s="71">
        <f t="shared" si="17"/>
        <v>7.7752560538308941</v>
      </c>
      <c r="AG51" s="71">
        <f t="shared" si="38"/>
        <v>0.24181842681053586</v>
      </c>
      <c r="AH51" s="71">
        <f t="shared" si="39"/>
        <v>2.4308808830159925</v>
      </c>
      <c r="AI51" s="74">
        <f t="shared" si="19"/>
        <v>2.6726993098265281</v>
      </c>
      <c r="AJ51" s="73">
        <f t="shared" si="20"/>
        <v>1.7600000000000002</v>
      </c>
      <c r="AK51" s="71">
        <f t="shared" si="40"/>
        <v>3.9556383398859727</v>
      </c>
      <c r="AL51" s="71">
        <f t="shared" si="41"/>
        <v>6.2588298703903422E-2</v>
      </c>
      <c r="AM51" s="71">
        <f t="shared" si="48"/>
        <v>0</v>
      </c>
      <c r="AN51" s="188">
        <f t="shared" si="42"/>
        <v>0.13767327102803739</v>
      </c>
      <c r="AO51" s="74">
        <f t="shared" si="24"/>
        <v>0.20026156973194081</v>
      </c>
      <c r="AP51" s="73">
        <f t="shared" si="43"/>
        <v>0.11415252206791472</v>
      </c>
      <c r="AQ51" s="206">
        <f t="shared" si="44"/>
        <v>0.17503386717080258</v>
      </c>
      <c r="AR51" s="206">
        <f t="shared" si="45"/>
        <v>3.0218089420955812</v>
      </c>
      <c r="AS51" s="71">
        <f t="shared" si="46"/>
        <v>0.12000000000000001</v>
      </c>
      <c r="AT51" s="74">
        <f t="shared" si="47"/>
        <v>3.6299999999999995E-5</v>
      </c>
      <c r="AU51" s="73">
        <f t="shared" si="26"/>
        <v>6.4790263780635708</v>
      </c>
      <c r="AV51" s="71">
        <f t="shared" si="27"/>
        <v>94.16</v>
      </c>
      <c r="AW51" s="74">
        <f t="shared" si="28"/>
        <v>93.562113415401839</v>
      </c>
    </row>
    <row r="52" spans="17:49" x14ac:dyDescent="0.25">
      <c r="Q52">
        <v>45</v>
      </c>
      <c r="R52" s="73">
        <f t="shared" si="0"/>
        <v>53.5</v>
      </c>
      <c r="S52" s="71">
        <f t="shared" si="32"/>
        <v>1.8</v>
      </c>
      <c r="T52" s="71">
        <f t="shared" si="2"/>
        <v>11</v>
      </c>
      <c r="U52" s="74">
        <f t="shared" si="33"/>
        <v>8.754545454545454</v>
      </c>
      <c r="V52" s="73">
        <f>IF(Variable_Management!$B$20=3,2,IF((S52*R52/T52)&lt;((T52*(1-(T52/R52)))/(2*Lm*Fsw)),1,2))</f>
        <v>2</v>
      </c>
      <c r="W52" s="71">
        <f t="shared" si="34"/>
        <v>0.79439252336448596</v>
      </c>
      <c r="X52" s="74">
        <f t="shared" si="35"/>
        <v>0.20560747663551404</v>
      </c>
      <c r="Y52" s="73">
        <f t="shared" si="36"/>
        <v>5.8255451713395638</v>
      </c>
      <c r="Z52" s="71">
        <f t="shared" si="30"/>
        <v>11.667318040215235</v>
      </c>
      <c r="AA52" s="71">
        <f t="shared" si="31"/>
        <v>8.9146030474896794</v>
      </c>
      <c r="AB52" s="71">
        <v>0</v>
      </c>
      <c r="AC52" s="71">
        <f t="shared" si="37"/>
        <v>0.18278133923691822</v>
      </c>
      <c r="AD52" s="74">
        <f t="shared" si="16"/>
        <v>0.18278133923691822</v>
      </c>
      <c r="AE52" s="73">
        <f t="shared" si="29"/>
        <v>6.9545454545454541</v>
      </c>
      <c r="AF52" s="71">
        <f t="shared" si="17"/>
        <v>7.9454698413721649</v>
      </c>
      <c r="AG52" s="71">
        <f t="shared" si="38"/>
        <v>0.25252196400061844</v>
      </c>
      <c r="AH52" s="71">
        <f t="shared" si="39"/>
        <v>2.4861281758118099</v>
      </c>
      <c r="AI52" s="74">
        <f t="shared" si="19"/>
        <v>2.7386501398124281</v>
      </c>
      <c r="AJ52" s="73">
        <f t="shared" si="20"/>
        <v>1.8</v>
      </c>
      <c r="AK52" s="71">
        <f t="shared" si="40"/>
        <v>4.0422340969020674</v>
      </c>
      <c r="AL52" s="71">
        <f t="shared" si="41"/>
        <v>6.5358625976630697E-2</v>
      </c>
      <c r="AM52" s="71">
        <f t="shared" si="48"/>
        <v>0</v>
      </c>
      <c r="AN52" s="188">
        <f t="shared" si="42"/>
        <v>0.14000781648258284</v>
      </c>
      <c r="AO52" s="74">
        <f t="shared" si="24"/>
        <v>0.20536644245921354</v>
      </c>
      <c r="AP52" s="73">
        <f t="shared" si="43"/>
        <v>0.11920522124146841</v>
      </c>
      <c r="AQ52" s="206">
        <f t="shared" si="44"/>
        <v>0.18278133923691822</v>
      </c>
      <c r="AR52" s="206">
        <f t="shared" si="45"/>
        <v>3.0218089420955812</v>
      </c>
      <c r="AS52" s="71">
        <f t="shared" si="46"/>
        <v>0.12000000000000001</v>
      </c>
      <c r="AT52" s="74">
        <f t="shared" si="47"/>
        <v>3.6299999999999995E-5</v>
      </c>
      <c r="AU52" s="73">
        <f t="shared" si="26"/>
        <v>6.5706297240825284</v>
      </c>
      <c r="AV52" s="71">
        <f t="shared" si="27"/>
        <v>96.3</v>
      </c>
      <c r="AW52" s="74">
        <f t="shared" si="28"/>
        <v>93.612725282516379</v>
      </c>
    </row>
    <row r="53" spans="17:49" x14ac:dyDescent="0.25">
      <c r="Q53">
        <v>46</v>
      </c>
      <c r="R53" s="73">
        <f t="shared" si="0"/>
        <v>53.5</v>
      </c>
      <c r="S53" s="71">
        <f t="shared" si="32"/>
        <v>1.84</v>
      </c>
      <c r="T53" s="71">
        <f t="shared" si="2"/>
        <v>11</v>
      </c>
      <c r="U53" s="74">
        <f t="shared" si="33"/>
        <v>8.9490909090909092</v>
      </c>
      <c r="V53" s="73">
        <f>IF(Variable_Management!$B$20=3,2,IF((S53*R53/T53)&lt;((T53*(1-(T53/R53)))/(2*Lm*Fsw)),1,2))</f>
        <v>2</v>
      </c>
      <c r="W53" s="71">
        <f t="shared" si="34"/>
        <v>0.79439252336448596</v>
      </c>
      <c r="X53" s="74">
        <f t="shared" si="35"/>
        <v>0.20560747663551404</v>
      </c>
      <c r="Y53" s="73">
        <f t="shared" si="36"/>
        <v>5.8255451713395638</v>
      </c>
      <c r="Z53" s="71">
        <f t="shared" si="30"/>
        <v>11.861863494760691</v>
      </c>
      <c r="AA53" s="71">
        <f t="shared" si="31"/>
        <v>9.1057294863060463</v>
      </c>
      <c r="AB53" s="71">
        <v>0</v>
      </c>
      <c r="AC53" s="71">
        <f t="shared" si="37"/>
        <v>0.19070291179890175</v>
      </c>
      <c r="AD53" s="74">
        <f t="shared" si="16"/>
        <v>0.19070291179890175</v>
      </c>
      <c r="AE53" s="73">
        <f t="shared" si="29"/>
        <v>7.1090909090909093</v>
      </c>
      <c r="AF53" s="71">
        <f t="shared" si="17"/>
        <v>8.1158183523955376</v>
      </c>
      <c r="AG53" s="71">
        <f t="shared" si="38"/>
        <v>0.26346603011632092</v>
      </c>
      <c r="AH53" s="71">
        <f t="shared" si="39"/>
        <v>2.5413754686076282</v>
      </c>
      <c r="AI53" s="74">
        <f t="shared" si="19"/>
        <v>2.8048414987239489</v>
      </c>
      <c r="AJ53" s="73">
        <f t="shared" si="20"/>
        <v>1.8400000000000003</v>
      </c>
      <c r="AK53" s="71">
        <f t="shared" si="40"/>
        <v>4.128898394088079</v>
      </c>
      <c r="AL53" s="71">
        <f t="shared" si="41"/>
        <v>6.819120779481247E-2</v>
      </c>
      <c r="AM53" s="71">
        <f t="shared" si="48"/>
        <v>0</v>
      </c>
      <c r="AN53" s="188">
        <f t="shared" si="42"/>
        <v>0.14234236193712829</v>
      </c>
      <c r="AO53" s="74">
        <f t="shared" si="24"/>
        <v>0.21053356973194076</v>
      </c>
      <c r="AP53" s="73">
        <f t="shared" si="43"/>
        <v>0.12437146421667507</v>
      </c>
      <c r="AQ53" s="206">
        <f t="shared" si="44"/>
        <v>0.19070291179890175</v>
      </c>
      <c r="AR53" s="206">
        <f t="shared" si="45"/>
        <v>3.0218089420955812</v>
      </c>
      <c r="AS53" s="71">
        <f t="shared" si="46"/>
        <v>0.12000000000000001</v>
      </c>
      <c r="AT53" s="74">
        <f t="shared" si="47"/>
        <v>3.6299999999999995E-5</v>
      </c>
      <c r="AU53" s="73">
        <f t="shared" si="26"/>
        <v>6.6629975983659495</v>
      </c>
      <c r="AV53" s="71">
        <f t="shared" si="27"/>
        <v>98.44</v>
      </c>
      <c r="AW53" s="74">
        <f t="shared" si="28"/>
        <v>93.660506597701882</v>
      </c>
    </row>
    <row r="54" spans="17:49" x14ac:dyDescent="0.25">
      <c r="Q54">
        <v>47</v>
      </c>
      <c r="R54" s="73">
        <f t="shared" si="0"/>
        <v>53.5</v>
      </c>
      <c r="S54" s="71">
        <f t="shared" si="32"/>
        <v>1.8800000000000001</v>
      </c>
      <c r="T54" s="71">
        <f t="shared" si="2"/>
        <v>11</v>
      </c>
      <c r="U54" s="74">
        <f t="shared" si="33"/>
        <v>9.1436363636363645</v>
      </c>
      <c r="V54" s="73">
        <f>IF(Variable_Management!$B$20=3,2,IF((S54*R54/T54)&lt;((T54*(1-(T54/R54)))/(2*Lm*Fsw)),1,2))</f>
        <v>2</v>
      </c>
      <c r="W54" s="71">
        <f t="shared" si="34"/>
        <v>0.79439252336448596</v>
      </c>
      <c r="X54" s="74">
        <f t="shared" si="35"/>
        <v>0.20560747663551404</v>
      </c>
      <c r="Y54" s="73">
        <f t="shared" si="36"/>
        <v>5.8255451713395638</v>
      </c>
      <c r="Z54" s="71">
        <f t="shared" si="30"/>
        <v>12.056408949306146</v>
      </c>
      <c r="AA54" s="71">
        <f t="shared" si="31"/>
        <v>9.2969977589016892</v>
      </c>
      <c r="AB54" s="71">
        <v>0</v>
      </c>
      <c r="AC54" s="71">
        <f t="shared" si="37"/>
        <v>0.19879858485675295</v>
      </c>
      <c r="AD54" s="74">
        <f t="shared" si="16"/>
        <v>0.19879858485675295</v>
      </c>
      <c r="AE54" s="73">
        <f t="shared" si="29"/>
        <v>7.2636363636363637</v>
      </c>
      <c r="AF54" s="71">
        <f t="shared" si="17"/>
        <v>8.286293278023102</v>
      </c>
      <c r="AG54" s="71">
        <f t="shared" si="38"/>
        <v>0.27465062515764338</v>
      </c>
      <c r="AH54" s="71">
        <f t="shared" si="39"/>
        <v>2.5966227614034465</v>
      </c>
      <c r="AI54" s="74">
        <f t="shared" si="19"/>
        <v>2.8712733865610898</v>
      </c>
      <c r="AJ54" s="73">
        <f t="shared" si="20"/>
        <v>1.8800000000000003</v>
      </c>
      <c r="AK54" s="71">
        <f t="shared" si="40"/>
        <v>4.21562700432714</v>
      </c>
      <c r="AL54" s="71">
        <f t="shared" si="41"/>
        <v>7.1086044158448866E-2</v>
      </c>
      <c r="AM54" s="71">
        <f t="shared" si="48"/>
        <v>0</v>
      </c>
      <c r="AN54" s="188">
        <f t="shared" si="42"/>
        <v>0.14467690739167374</v>
      </c>
      <c r="AO54" s="74">
        <f t="shared" si="24"/>
        <v>0.21576295155012259</v>
      </c>
      <c r="AP54" s="73">
        <f t="shared" si="43"/>
        <v>0.12965125099353453</v>
      </c>
      <c r="AQ54" s="206">
        <f t="shared" si="44"/>
        <v>0.19879858485675295</v>
      </c>
      <c r="AR54" s="206">
        <f t="shared" si="45"/>
        <v>3.0218089420955812</v>
      </c>
      <c r="AS54" s="71">
        <f t="shared" si="46"/>
        <v>0.12000000000000001</v>
      </c>
      <c r="AT54" s="74">
        <f t="shared" si="47"/>
        <v>3.6299999999999995E-5</v>
      </c>
      <c r="AU54" s="73">
        <f t="shared" si="26"/>
        <v>6.7561300009138341</v>
      </c>
      <c r="AV54" s="71">
        <f t="shared" si="27"/>
        <v>100.58000000000001</v>
      </c>
      <c r="AW54" s="74">
        <f t="shared" si="28"/>
        <v>93.705632948703936</v>
      </c>
    </row>
    <row r="55" spans="17:49" x14ac:dyDescent="0.25">
      <c r="Q55">
        <v>48</v>
      </c>
      <c r="R55" s="73">
        <f t="shared" si="0"/>
        <v>53.5</v>
      </c>
      <c r="S55" s="71">
        <f t="shared" si="32"/>
        <v>1.92</v>
      </c>
      <c r="T55" s="71">
        <f t="shared" si="2"/>
        <v>11</v>
      </c>
      <c r="U55" s="74">
        <f t="shared" si="33"/>
        <v>9.3381818181818179</v>
      </c>
      <c r="V55" s="73">
        <f>IF(Variable_Management!$B$20=3,2,IF((S55*R55/T55)&lt;((T55*(1-(T55/R55)))/(2*Lm*Fsw)),1,2))</f>
        <v>2</v>
      </c>
      <c r="W55" s="71">
        <f t="shared" si="34"/>
        <v>0.79439252336448596</v>
      </c>
      <c r="X55" s="74">
        <f t="shared" si="35"/>
        <v>0.20560747663551404</v>
      </c>
      <c r="Y55" s="73">
        <f t="shared" si="36"/>
        <v>5.8255451713395638</v>
      </c>
      <c r="Z55" s="71">
        <f t="shared" si="30"/>
        <v>12.250954403851599</v>
      </c>
      <c r="AA55" s="71">
        <f t="shared" si="31"/>
        <v>9.4883992879743051</v>
      </c>
      <c r="AB55" s="71">
        <v>0</v>
      </c>
      <c r="AC55" s="71">
        <f t="shared" si="37"/>
        <v>0.207068358410472</v>
      </c>
      <c r="AD55" s="74">
        <f t="shared" si="16"/>
        <v>0.207068358410472</v>
      </c>
      <c r="AE55" s="73">
        <f t="shared" si="29"/>
        <v>7.418181818181818</v>
      </c>
      <c r="AF55" s="71">
        <f t="shared" si="17"/>
        <v>8.4568869734167755</v>
      </c>
      <c r="AG55" s="71">
        <f t="shared" si="38"/>
        <v>0.28607574912458539</v>
      </c>
      <c r="AH55" s="71">
        <f t="shared" si="39"/>
        <v>2.6518700541992639</v>
      </c>
      <c r="AI55" s="74">
        <f t="shared" si="19"/>
        <v>2.9379458033238492</v>
      </c>
      <c r="AJ55" s="73">
        <f t="shared" si="20"/>
        <v>1.9200000000000002</v>
      </c>
      <c r="AK55" s="71">
        <f t="shared" si="40"/>
        <v>4.3024160383306658</v>
      </c>
      <c r="AL55" s="71">
        <f t="shared" si="41"/>
        <v>7.4043135067539761E-2</v>
      </c>
      <c r="AM55" s="71">
        <f t="shared" si="48"/>
        <v>0</v>
      </c>
      <c r="AN55" s="188">
        <f t="shared" si="42"/>
        <v>0.14701145284621919</v>
      </c>
      <c r="AO55" s="74">
        <f t="shared" si="24"/>
        <v>0.22105458791375895</v>
      </c>
      <c r="AP55" s="73">
        <f t="shared" si="43"/>
        <v>0.13504458157204696</v>
      </c>
      <c r="AQ55" s="206">
        <f t="shared" si="44"/>
        <v>0.207068358410472</v>
      </c>
      <c r="AR55" s="206">
        <f t="shared" si="45"/>
        <v>3.0218089420955812</v>
      </c>
      <c r="AS55" s="71">
        <f t="shared" si="46"/>
        <v>0.12000000000000001</v>
      </c>
      <c r="AT55" s="74">
        <f t="shared" si="47"/>
        <v>3.6299999999999995E-5</v>
      </c>
      <c r="AU55" s="73">
        <f t="shared" si="26"/>
        <v>6.8500269317261804</v>
      </c>
      <c r="AV55" s="71">
        <f t="shared" si="27"/>
        <v>102.72</v>
      </c>
      <c r="AW55" s="74">
        <f t="shared" si="28"/>
        <v>93.748265722345337</v>
      </c>
    </row>
    <row r="56" spans="17:49" x14ac:dyDescent="0.25">
      <c r="Q56">
        <v>49</v>
      </c>
      <c r="R56" s="73">
        <f t="shared" si="0"/>
        <v>53.5</v>
      </c>
      <c r="S56" s="71">
        <f t="shared" si="32"/>
        <v>1.96</v>
      </c>
      <c r="T56" s="71">
        <f t="shared" si="2"/>
        <v>11</v>
      </c>
      <c r="U56" s="74">
        <f t="shared" si="33"/>
        <v>9.5327272727272732</v>
      </c>
      <c r="V56" s="73">
        <f>IF(Variable_Management!$B$20=3,2,IF((S56*R56/T56)&lt;((T56*(1-(T56/R56)))/(2*Lm*Fsw)),1,2))</f>
        <v>2</v>
      </c>
      <c r="W56" s="71">
        <f t="shared" si="34"/>
        <v>0.79439252336448596</v>
      </c>
      <c r="X56" s="74">
        <f t="shared" si="35"/>
        <v>0.20560747663551404</v>
      </c>
      <c r="Y56" s="73">
        <f t="shared" si="36"/>
        <v>5.8255451713395638</v>
      </c>
      <c r="Z56" s="71">
        <f t="shared" si="30"/>
        <v>12.445499858397055</v>
      </c>
      <c r="AA56" s="71">
        <f t="shared" si="31"/>
        <v>9.6799261688717522</v>
      </c>
      <c r="AB56" s="71">
        <v>0</v>
      </c>
      <c r="AC56" s="71">
        <f t="shared" si="37"/>
        <v>0.21551223246005877</v>
      </c>
      <c r="AD56" s="74">
        <f t="shared" si="16"/>
        <v>0.21551223246005877</v>
      </c>
      <c r="AE56" s="73">
        <f t="shared" si="29"/>
        <v>7.5727272727272732</v>
      </c>
      <c r="AF56" s="71">
        <f t="shared" si="17"/>
        <v>8.6275923932628427</v>
      </c>
      <c r="AG56" s="71">
        <f t="shared" si="38"/>
        <v>0.29774140201714744</v>
      </c>
      <c r="AH56" s="71">
        <f t="shared" si="39"/>
        <v>2.7071173469950818</v>
      </c>
      <c r="AI56" s="74">
        <f t="shared" si="19"/>
        <v>3.0048587490122292</v>
      </c>
      <c r="AJ56" s="73">
        <f t="shared" si="20"/>
        <v>1.9600000000000004</v>
      </c>
      <c r="AK56" s="71">
        <f t="shared" si="40"/>
        <v>4.3892619118163028</v>
      </c>
      <c r="AL56" s="71">
        <f t="shared" si="41"/>
        <v>7.7062480522085225E-2</v>
      </c>
      <c r="AM56" s="71">
        <f t="shared" si="48"/>
        <v>0</v>
      </c>
      <c r="AN56" s="188">
        <f t="shared" si="42"/>
        <v>0.14934599830076467</v>
      </c>
      <c r="AO56" s="74">
        <f t="shared" si="24"/>
        <v>0.2264084788228499</v>
      </c>
      <c r="AP56" s="73">
        <f t="shared" si="43"/>
        <v>0.14055145595221225</v>
      </c>
      <c r="AQ56" s="206">
        <f t="shared" si="44"/>
        <v>0.21551223246005877</v>
      </c>
      <c r="AR56" s="206">
        <f t="shared" si="45"/>
        <v>3.0218089420955812</v>
      </c>
      <c r="AS56" s="71">
        <f t="shared" si="46"/>
        <v>0.12000000000000001</v>
      </c>
      <c r="AT56" s="74">
        <f t="shared" si="47"/>
        <v>3.6299999999999995E-5</v>
      </c>
      <c r="AU56" s="73">
        <f t="shared" si="26"/>
        <v>6.9446883908029902</v>
      </c>
      <c r="AV56" s="71">
        <f t="shared" si="27"/>
        <v>104.86</v>
      </c>
      <c r="AW56" s="74">
        <f t="shared" si="28"/>
        <v>93.788553511702048</v>
      </c>
    </row>
    <row r="57" spans="17:49" x14ac:dyDescent="0.25">
      <c r="Q57">
        <v>50</v>
      </c>
      <c r="R57" s="73">
        <f t="shared" si="0"/>
        <v>53.5</v>
      </c>
      <c r="S57" s="71">
        <f t="shared" si="32"/>
        <v>2</v>
      </c>
      <c r="T57" s="71">
        <f t="shared" si="2"/>
        <v>11</v>
      </c>
      <c r="U57" s="74">
        <f t="shared" si="33"/>
        <v>9.7272727272727266</v>
      </c>
      <c r="V57" s="73">
        <f>IF(Variable_Management!$B$20=3,2,IF((S57*R57/T57)&lt;((T57*(1-(T57/R57)))/(2*Lm*Fsw)),1,2))</f>
        <v>2</v>
      </c>
      <c r="W57" s="71">
        <f t="shared" si="34"/>
        <v>0.79439252336448596</v>
      </c>
      <c r="X57" s="74">
        <f t="shared" si="35"/>
        <v>0.20560747663551404</v>
      </c>
      <c r="Y57" s="73">
        <f t="shared" si="36"/>
        <v>5.8255451713395638</v>
      </c>
      <c r="Z57" s="71">
        <f t="shared" si="30"/>
        <v>12.640045312942508</v>
      </c>
      <c r="AA57" s="71">
        <f t="shared" si="31"/>
        <v>9.8715711054195214</v>
      </c>
      <c r="AB57" s="71">
        <v>0</v>
      </c>
      <c r="AC57" s="71">
        <f t="shared" si="37"/>
        <v>0.22413020700551328</v>
      </c>
      <c r="AD57" s="74">
        <f t="shared" si="16"/>
        <v>0.22413020700551328</v>
      </c>
      <c r="AE57" s="73">
        <f t="shared" si="29"/>
        <v>7.7272727272727266</v>
      </c>
      <c r="AF57" s="71">
        <f t="shared" si="17"/>
        <v>8.7984030345757791</v>
      </c>
      <c r="AG57" s="71">
        <f t="shared" si="38"/>
        <v>0.30964758383532909</v>
      </c>
      <c r="AH57" s="71">
        <f t="shared" si="39"/>
        <v>2.7623646397909001</v>
      </c>
      <c r="AI57" s="74">
        <f t="shared" si="19"/>
        <v>3.0720122236262291</v>
      </c>
      <c r="AJ57" s="73">
        <f t="shared" si="20"/>
        <v>2</v>
      </c>
      <c r="AK57" s="71">
        <f t="shared" si="40"/>
        <v>4.4761613164095531</v>
      </c>
      <c r="AL57" s="71">
        <f t="shared" si="41"/>
        <v>8.0144080522085215E-2</v>
      </c>
      <c r="AM57" s="71">
        <f t="shared" si="48"/>
        <v>0</v>
      </c>
      <c r="AN57" s="188">
        <f t="shared" si="42"/>
        <v>0.15168054375531009</v>
      </c>
      <c r="AO57" s="74">
        <f t="shared" si="24"/>
        <v>0.23182462427739531</v>
      </c>
      <c r="AP57" s="73">
        <f t="shared" si="43"/>
        <v>0.14617187413403041</v>
      </c>
      <c r="AQ57" s="206">
        <f t="shared" si="44"/>
        <v>0.22413020700551328</v>
      </c>
      <c r="AR57" s="206">
        <f t="shared" si="45"/>
        <v>3.0218089420955812</v>
      </c>
      <c r="AS57" s="71">
        <f t="shared" si="46"/>
        <v>0.12000000000000001</v>
      </c>
      <c r="AT57" s="74">
        <f t="shared" si="47"/>
        <v>3.6299999999999995E-5</v>
      </c>
      <c r="AU57" s="73">
        <f t="shared" si="26"/>
        <v>7.0401143781442626</v>
      </c>
      <c r="AV57" s="71">
        <f t="shared" si="27"/>
        <v>107</v>
      </c>
      <c r="AW57" s="74">
        <f t="shared" si="28"/>
        <v>93.826633359205474</v>
      </c>
    </row>
    <row r="58" spans="17:49" x14ac:dyDescent="0.25">
      <c r="Q58">
        <v>51</v>
      </c>
      <c r="R58" s="73">
        <f t="shared" si="0"/>
        <v>53.5</v>
      </c>
      <c r="S58" s="71">
        <f t="shared" si="32"/>
        <v>2.04</v>
      </c>
      <c r="T58" s="71">
        <f t="shared" si="2"/>
        <v>11</v>
      </c>
      <c r="U58" s="74">
        <f t="shared" si="33"/>
        <v>9.9218181818181819</v>
      </c>
      <c r="V58" s="73">
        <f>IF(Variable_Management!$B$20=3,2,IF((S58*R58/T58)&lt;((T58*(1-(T58/R58)))/(2*Lm*Fsw)),1,2))</f>
        <v>2</v>
      </c>
      <c r="W58" s="71">
        <f t="shared" si="34"/>
        <v>0.79439252336448596</v>
      </c>
      <c r="X58" s="74">
        <f t="shared" si="35"/>
        <v>0.20560747663551404</v>
      </c>
      <c r="Y58" s="73">
        <f t="shared" si="36"/>
        <v>5.8255451713395638</v>
      </c>
      <c r="Z58" s="71">
        <f t="shared" si="30"/>
        <v>12.834590767487963</v>
      </c>
      <c r="AA58" s="71">
        <f t="shared" si="31"/>
        <v>10.063327352902103</v>
      </c>
      <c r="AB58" s="71">
        <v>0</v>
      </c>
      <c r="AC58" s="71">
        <f t="shared" si="37"/>
        <v>0.2329222820468356</v>
      </c>
      <c r="AD58" s="74">
        <f t="shared" si="16"/>
        <v>0.2329222820468356</v>
      </c>
      <c r="AE58" s="73">
        <f t="shared" si="29"/>
        <v>7.8818181818181818</v>
      </c>
      <c r="AF58" s="71">
        <f t="shared" si="17"/>
        <v>8.9693128858783098</v>
      </c>
      <c r="AG58" s="71">
        <f t="shared" si="38"/>
        <v>0.32179429457913078</v>
      </c>
      <c r="AH58" s="71">
        <f t="shared" si="39"/>
        <v>2.8176119325867184</v>
      </c>
      <c r="AI58" s="74">
        <f t="shared" si="19"/>
        <v>3.1394062271658489</v>
      </c>
      <c r="AJ58" s="73">
        <f t="shared" si="20"/>
        <v>2.04</v>
      </c>
      <c r="AK58" s="71">
        <f t="shared" si="40"/>
        <v>4.5631111937892701</v>
      </c>
      <c r="AL58" s="71">
        <f t="shared" si="41"/>
        <v>8.3287935067539745E-2</v>
      </c>
      <c r="AM58" s="71">
        <f t="shared" si="48"/>
        <v>0</v>
      </c>
      <c r="AN58" s="188">
        <f t="shared" si="42"/>
        <v>0.15401508920985557</v>
      </c>
      <c r="AO58" s="74">
        <f t="shared" si="24"/>
        <v>0.2373030242773953</v>
      </c>
      <c r="AP58" s="73">
        <f t="shared" si="43"/>
        <v>0.15190583611750147</v>
      </c>
      <c r="AQ58" s="206">
        <f t="shared" si="44"/>
        <v>0.2329222820468356</v>
      </c>
      <c r="AR58" s="206">
        <f t="shared" si="45"/>
        <v>3.0218089420955812</v>
      </c>
      <c r="AS58" s="71">
        <f t="shared" si="46"/>
        <v>0.12000000000000001</v>
      </c>
      <c r="AT58" s="74">
        <f t="shared" si="47"/>
        <v>3.6299999999999995E-5</v>
      </c>
      <c r="AU58" s="73">
        <f t="shared" si="26"/>
        <v>7.1363048937499984</v>
      </c>
      <c r="AV58" s="71">
        <f t="shared" si="27"/>
        <v>109.14</v>
      </c>
      <c r="AW58" s="74">
        <f t="shared" si="28"/>
        <v>93.862631857564665</v>
      </c>
    </row>
    <row r="59" spans="17:49" x14ac:dyDescent="0.25">
      <c r="Q59">
        <v>52</v>
      </c>
      <c r="R59" s="73">
        <f t="shared" si="0"/>
        <v>53.5</v>
      </c>
      <c r="S59" s="71">
        <f t="shared" si="32"/>
        <v>2.08</v>
      </c>
      <c r="T59" s="71">
        <f t="shared" si="2"/>
        <v>11</v>
      </c>
      <c r="U59" s="74">
        <f t="shared" si="33"/>
        <v>10.116363636363637</v>
      </c>
      <c r="V59" s="73">
        <f>IF(Variable_Management!$B$20=3,2,IF((S59*R59/T59)&lt;((T59*(1-(T59/R59)))/(2*Lm*Fsw)),1,2))</f>
        <v>2</v>
      </c>
      <c r="W59" s="71">
        <f t="shared" si="34"/>
        <v>0.79439252336448596</v>
      </c>
      <c r="X59" s="74">
        <f t="shared" si="35"/>
        <v>0.20560747663551404</v>
      </c>
      <c r="Y59" s="73">
        <f t="shared" si="36"/>
        <v>5.8255451713395638</v>
      </c>
      <c r="Z59" s="71">
        <f t="shared" si="30"/>
        <v>13.029136222033419</v>
      </c>
      <c r="AA59" s="71">
        <f t="shared" si="31"/>
        <v>10.255188667291808</v>
      </c>
      <c r="AB59" s="71">
        <v>0</v>
      </c>
      <c r="AC59" s="71">
        <f t="shared" si="37"/>
        <v>0.24188845758402575</v>
      </c>
      <c r="AD59" s="74">
        <f t="shared" si="16"/>
        <v>0.24188845758402575</v>
      </c>
      <c r="AE59" s="73">
        <f t="shared" si="29"/>
        <v>8.036363636363637</v>
      </c>
      <c r="AF59" s="71">
        <f t="shared" si="17"/>
        <v>9.1403163819497024</v>
      </c>
      <c r="AG59" s="71">
        <f t="shared" si="38"/>
        <v>0.3341815342485524</v>
      </c>
      <c r="AH59" s="71">
        <f t="shared" si="39"/>
        <v>2.8728592253825367</v>
      </c>
      <c r="AI59" s="74">
        <f t="shared" si="19"/>
        <v>3.2070407596310893</v>
      </c>
      <c r="AJ59" s="73">
        <f t="shared" si="20"/>
        <v>2.0800000000000005</v>
      </c>
      <c r="AK59" s="71">
        <f t="shared" si="40"/>
        <v>4.6501087126659968</v>
      </c>
      <c r="AL59" s="71">
        <f t="shared" si="41"/>
        <v>8.6494044158448857E-2</v>
      </c>
      <c r="AM59" s="71">
        <f t="shared" si="48"/>
        <v>0</v>
      </c>
      <c r="AN59" s="188">
        <f t="shared" si="42"/>
        <v>0.15634963466440102</v>
      </c>
      <c r="AO59" s="74">
        <f t="shared" si="24"/>
        <v>0.24284367882284988</v>
      </c>
      <c r="AP59" s="73">
        <f t="shared" si="43"/>
        <v>0.15775334190262549</v>
      </c>
      <c r="AQ59" s="206">
        <f t="shared" si="44"/>
        <v>0.24188845758402575</v>
      </c>
      <c r="AR59" s="206">
        <f t="shared" si="45"/>
        <v>3.0218089420955812</v>
      </c>
      <c r="AS59" s="71">
        <f t="shared" si="46"/>
        <v>0.12000000000000001</v>
      </c>
      <c r="AT59" s="74">
        <f t="shared" si="47"/>
        <v>3.6299999999999995E-5</v>
      </c>
      <c r="AU59" s="73">
        <f t="shared" si="26"/>
        <v>7.2332599376201978</v>
      </c>
      <c r="AV59" s="71">
        <f t="shared" si="27"/>
        <v>111.28</v>
      </c>
      <c r="AW59" s="74">
        <f t="shared" si="28"/>
        <v>93.896666127125812</v>
      </c>
    </row>
    <row r="60" spans="17:49" x14ac:dyDescent="0.25">
      <c r="Q60">
        <v>53</v>
      </c>
      <c r="R60" s="73">
        <f t="shared" si="0"/>
        <v>53.5</v>
      </c>
      <c r="S60" s="71">
        <f t="shared" si="32"/>
        <v>2.12</v>
      </c>
      <c r="T60" s="71">
        <f t="shared" si="2"/>
        <v>11</v>
      </c>
      <c r="U60" s="74">
        <f t="shared" si="33"/>
        <v>10.310909090909091</v>
      </c>
      <c r="V60" s="73">
        <f>IF(Variable_Management!$B$20=3,2,IF((S60*R60/T60)&lt;((T60*(1-(T60/R60)))/(2*Lm*Fsw)),1,2))</f>
        <v>2</v>
      </c>
      <c r="W60" s="71">
        <f t="shared" si="34"/>
        <v>0.79439252336448596</v>
      </c>
      <c r="X60" s="74">
        <f t="shared" si="35"/>
        <v>0.20560747663551404</v>
      </c>
      <c r="Y60" s="73">
        <f t="shared" si="36"/>
        <v>5.8255451713395638</v>
      </c>
      <c r="Z60" s="71">
        <f t="shared" si="30"/>
        <v>13.223681676578872</v>
      </c>
      <c r="AA60" s="71">
        <f t="shared" si="31"/>
        <v>10.44714925994654</v>
      </c>
      <c r="AB60" s="71">
        <v>0</v>
      </c>
      <c r="AC60" s="71">
        <f t="shared" si="37"/>
        <v>0.25102873361708355</v>
      </c>
      <c r="AD60" s="74">
        <f t="shared" si="16"/>
        <v>0.25102873361708355</v>
      </c>
      <c r="AE60" s="73">
        <f t="shared" si="29"/>
        <v>8.1909090909090896</v>
      </c>
      <c r="AF60" s="71">
        <f t="shared" si="17"/>
        <v>9.3114083634484857</v>
      </c>
      <c r="AG60" s="71">
        <f t="shared" si="38"/>
        <v>0.34680930284359363</v>
      </c>
      <c r="AH60" s="71">
        <f t="shared" si="39"/>
        <v>2.9281065181783541</v>
      </c>
      <c r="AI60" s="74">
        <f t="shared" si="19"/>
        <v>3.2749158210219478</v>
      </c>
      <c r="AJ60" s="73">
        <f t="shared" si="20"/>
        <v>2.12</v>
      </c>
      <c r="AK60" s="71">
        <f t="shared" si="40"/>
        <v>4.7371512482401403</v>
      </c>
      <c r="AL60" s="71">
        <f t="shared" si="41"/>
        <v>8.9762407794812482E-2</v>
      </c>
      <c r="AM60" s="71">
        <f t="shared" si="48"/>
        <v>0</v>
      </c>
      <c r="AN60" s="188">
        <f t="shared" si="42"/>
        <v>0.15868418011894647</v>
      </c>
      <c r="AO60" s="74">
        <f t="shared" si="24"/>
        <v>0.24844658791375895</v>
      </c>
      <c r="AP60" s="73">
        <f t="shared" si="43"/>
        <v>0.16371439148940231</v>
      </c>
      <c r="AQ60" s="206">
        <f t="shared" si="44"/>
        <v>0.25102873361708355</v>
      </c>
      <c r="AR60" s="206">
        <f t="shared" si="45"/>
        <v>3.0218089420955812</v>
      </c>
      <c r="AS60" s="71">
        <f t="shared" si="46"/>
        <v>0.12000000000000001</v>
      </c>
      <c r="AT60" s="74">
        <f t="shared" si="47"/>
        <v>3.6299999999999995E-5</v>
      </c>
      <c r="AU60" s="73">
        <f t="shared" si="26"/>
        <v>7.3309795097548571</v>
      </c>
      <c r="AV60" s="71">
        <f t="shared" si="27"/>
        <v>113.42</v>
      </c>
      <c r="AW60" s="74">
        <f t="shared" si="28"/>
        <v>93.928844685551709</v>
      </c>
    </row>
    <row r="61" spans="17:49" x14ac:dyDescent="0.25">
      <c r="Q61">
        <v>54</v>
      </c>
      <c r="R61" s="73">
        <f t="shared" si="0"/>
        <v>53.5</v>
      </c>
      <c r="S61" s="71">
        <f t="shared" si="32"/>
        <v>2.16</v>
      </c>
      <c r="T61" s="71">
        <f t="shared" si="2"/>
        <v>11</v>
      </c>
      <c r="U61" s="74">
        <f t="shared" si="33"/>
        <v>10.505454545454546</v>
      </c>
      <c r="V61" s="73">
        <f>IF(Variable_Management!$B$20=3,2,IF((S61*R61/T61)&lt;((T61*(1-(T61/R61)))/(2*Lm*Fsw)),1,2))</f>
        <v>2</v>
      </c>
      <c r="W61" s="71">
        <f t="shared" si="34"/>
        <v>0.79439252336448596</v>
      </c>
      <c r="X61" s="74">
        <f t="shared" si="35"/>
        <v>0.20560747663551404</v>
      </c>
      <c r="Y61" s="73">
        <f t="shared" si="36"/>
        <v>5.8255451713395638</v>
      </c>
      <c r="Z61" s="71">
        <f t="shared" si="30"/>
        <v>13.418227131124327</v>
      </c>
      <c r="AA61" s="71">
        <f t="shared" si="31"/>
        <v>10.63920375710614</v>
      </c>
      <c r="AB61" s="71">
        <v>0</v>
      </c>
      <c r="AC61" s="71">
        <f t="shared" si="37"/>
        <v>0.26034311014600919</v>
      </c>
      <c r="AD61" s="74">
        <f t="shared" si="16"/>
        <v>0.26034311014600919</v>
      </c>
      <c r="AE61" s="73">
        <f t="shared" si="29"/>
        <v>8.3454545454545457</v>
      </c>
      <c r="AF61" s="71">
        <f t="shared" si="17"/>
        <v>9.4825840408120676</v>
      </c>
      <c r="AG61" s="71">
        <f t="shared" si="38"/>
        <v>0.35967760036425489</v>
      </c>
      <c r="AH61" s="71">
        <f t="shared" si="39"/>
        <v>2.9833538109741724</v>
      </c>
      <c r="AI61" s="74">
        <f t="shared" si="19"/>
        <v>3.3430314113384272</v>
      </c>
      <c r="AJ61" s="73">
        <f t="shared" si="20"/>
        <v>2.16</v>
      </c>
      <c r="AK61" s="71">
        <f t="shared" si="40"/>
        <v>4.8242363638360075</v>
      </c>
      <c r="AL61" s="71">
        <f t="shared" si="41"/>
        <v>9.3093025976630661E-2</v>
      </c>
      <c r="AM61" s="71">
        <f t="shared" si="48"/>
        <v>0</v>
      </c>
      <c r="AN61" s="188">
        <f t="shared" si="42"/>
        <v>0.16101872557349192</v>
      </c>
      <c r="AO61" s="74">
        <f t="shared" si="24"/>
        <v>0.25411175155012256</v>
      </c>
      <c r="AP61" s="73">
        <f t="shared" si="43"/>
        <v>0.16978898487783212</v>
      </c>
      <c r="AQ61" s="206">
        <f t="shared" si="44"/>
        <v>0.26034311014600919</v>
      </c>
      <c r="AR61" s="206">
        <f t="shared" si="45"/>
        <v>3.0218089420955812</v>
      </c>
      <c r="AS61" s="71">
        <f t="shared" si="46"/>
        <v>0.12000000000000001</v>
      </c>
      <c r="AT61" s="74">
        <f t="shared" si="47"/>
        <v>3.6299999999999995E-5</v>
      </c>
      <c r="AU61" s="73">
        <f t="shared" si="26"/>
        <v>7.4294636101539817</v>
      </c>
      <c r="AV61" s="71">
        <f t="shared" si="27"/>
        <v>115.56</v>
      </c>
      <c r="AW61" s="74">
        <f t="shared" si="28"/>
        <v>93.959268223411769</v>
      </c>
    </row>
    <row r="62" spans="17:49" x14ac:dyDescent="0.25">
      <c r="Q62">
        <v>55</v>
      </c>
      <c r="R62" s="73">
        <f t="shared" si="0"/>
        <v>53.5</v>
      </c>
      <c r="S62" s="71">
        <f t="shared" si="32"/>
        <v>2.2000000000000002</v>
      </c>
      <c r="T62" s="71">
        <f t="shared" si="2"/>
        <v>11</v>
      </c>
      <c r="U62" s="74">
        <f t="shared" si="33"/>
        <v>10.700000000000001</v>
      </c>
      <c r="V62" s="73">
        <f>IF(Variable_Management!$B$20=3,2,IF((S62*R62/T62)&lt;((T62*(1-(T62/R62)))/(2*Lm*Fsw)),1,2))</f>
        <v>2</v>
      </c>
      <c r="W62" s="71">
        <f t="shared" si="34"/>
        <v>0.79439252336448596</v>
      </c>
      <c r="X62" s="74">
        <f t="shared" si="35"/>
        <v>0.20560747663551404</v>
      </c>
      <c r="Y62" s="73">
        <f t="shared" si="36"/>
        <v>5.8255451713395638</v>
      </c>
      <c r="Z62" s="71">
        <f t="shared" si="30"/>
        <v>13.612772585669783</v>
      </c>
      <c r="AA62" s="71">
        <f t="shared" si="31"/>
        <v>10.831347163608497</v>
      </c>
      <c r="AB62" s="71">
        <v>0</v>
      </c>
      <c r="AC62" s="71">
        <f t="shared" si="37"/>
        <v>0.26983158717080258</v>
      </c>
      <c r="AD62" s="74">
        <f t="shared" si="16"/>
        <v>0.26983158717080258</v>
      </c>
      <c r="AE62" s="73">
        <f t="shared" si="29"/>
        <v>8.5</v>
      </c>
      <c r="AF62" s="71">
        <f t="shared" si="17"/>
        <v>9.6538389619173763</v>
      </c>
      <c r="AG62" s="71">
        <f t="shared" si="38"/>
        <v>0.37278642681053592</v>
      </c>
      <c r="AH62" s="71">
        <f t="shared" si="39"/>
        <v>3.0386011037699903</v>
      </c>
      <c r="AI62" s="74">
        <f t="shared" si="19"/>
        <v>3.4113875305805261</v>
      </c>
      <c r="AJ62" s="73">
        <f t="shared" si="20"/>
        <v>2.2000000000000006</v>
      </c>
      <c r="AK62" s="71">
        <f t="shared" si="40"/>
        <v>4.9113617944492596</v>
      </c>
      <c r="AL62" s="71">
        <f t="shared" si="41"/>
        <v>9.6485898703903408E-2</v>
      </c>
      <c r="AM62" s="71">
        <f t="shared" si="48"/>
        <v>0</v>
      </c>
      <c r="AN62" s="188">
        <f t="shared" si="42"/>
        <v>0.1633532710280374</v>
      </c>
      <c r="AO62" s="74">
        <f t="shared" si="24"/>
        <v>0.25983916973194082</v>
      </c>
      <c r="AP62" s="73">
        <f t="shared" si="43"/>
        <v>0.17597712206791474</v>
      </c>
      <c r="AQ62" s="206">
        <f t="shared" si="44"/>
        <v>0.26983158717080258</v>
      </c>
      <c r="AR62" s="206">
        <f t="shared" si="45"/>
        <v>3.0218089420955812</v>
      </c>
      <c r="AS62" s="71">
        <f t="shared" si="46"/>
        <v>0.12000000000000001</v>
      </c>
      <c r="AT62" s="74">
        <f t="shared" si="47"/>
        <v>3.6299999999999995E-5</v>
      </c>
      <c r="AU62" s="73">
        <f t="shared" si="26"/>
        <v>7.528712238817568</v>
      </c>
      <c r="AV62" s="71">
        <f t="shared" si="27"/>
        <v>117.7</v>
      </c>
      <c r="AW62" s="74">
        <f t="shared" si="28"/>
        <v>93.988030297349127</v>
      </c>
    </row>
    <row r="63" spans="17:49" x14ac:dyDescent="0.25">
      <c r="Q63">
        <v>56</v>
      </c>
      <c r="R63" s="73">
        <f t="shared" si="0"/>
        <v>53.5</v>
      </c>
      <c r="S63" s="71">
        <f t="shared" si="32"/>
        <v>2.2400000000000002</v>
      </c>
      <c r="T63" s="71">
        <f t="shared" si="2"/>
        <v>11</v>
      </c>
      <c r="U63" s="74">
        <f t="shared" si="33"/>
        <v>10.894545454545456</v>
      </c>
      <c r="V63" s="73">
        <f>IF(Variable_Management!$B$20=3,2,IF((S63*R63/T63)&lt;((T63*(1-(T63/R63)))/(2*Lm*Fsw)),1,2))</f>
        <v>2</v>
      </c>
      <c r="W63" s="71">
        <f t="shared" si="34"/>
        <v>0.79439252336448596</v>
      </c>
      <c r="X63" s="74">
        <f t="shared" si="35"/>
        <v>0.20560747663551404</v>
      </c>
      <c r="Y63" s="73">
        <f t="shared" si="36"/>
        <v>5.8255451713395638</v>
      </c>
      <c r="Z63" s="71">
        <f t="shared" si="30"/>
        <v>13.807318040215238</v>
      </c>
      <c r="AA63" s="71">
        <f t="shared" si="31"/>
        <v>11.023574830324637</v>
      </c>
      <c r="AB63" s="71">
        <v>0</v>
      </c>
      <c r="AC63" s="71">
        <f t="shared" si="37"/>
        <v>0.27949416469146376</v>
      </c>
      <c r="AD63" s="74">
        <f t="shared" si="16"/>
        <v>0.27949416469146376</v>
      </c>
      <c r="AE63" s="73">
        <f t="shared" si="29"/>
        <v>8.6545454545454561</v>
      </c>
      <c r="AF63" s="71">
        <f t="shared" si="17"/>
        <v>9.8251689830561784</v>
      </c>
      <c r="AG63" s="71">
        <f t="shared" si="38"/>
        <v>0.38613578218243672</v>
      </c>
      <c r="AH63" s="71">
        <f t="shared" si="39"/>
        <v>3.093848396565809</v>
      </c>
      <c r="AI63" s="74">
        <f t="shared" si="19"/>
        <v>3.4799841787482455</v>
      </c>
      <c r="AJ63" s="73">
        <f t="shared" si="20"/>
        <v>2.2400000000000007</v>
      </c>
      <c r="AK63" s="71">
        <f t="shared" si="40"/>
        <v>4.9985254319806831</v>
      </c>
      <c r="AL63" s="71">
        <f t="shared" si="41"/>
        <v>9.9941025976630696E-2</v>
      </c>
      <c r="AM63" s="71">
        <f t="shared" si="48"/>
        <v>0</v>
      </c>
      <c r="AN63" s="188">
        <f t="shared" si="42"/>
        <v>0.16568781648258285</v>
      </c>
      <c r="AO63" s="74">
        <f t="shared" si="24"/>
        <v>0.26562884245921353</v>
      </c>
      <c r="AP63" s="73">
        <f t="shared" si="43"/>
        <v>0.18227880305965027</v>
      </c>
      <c r="AQ63" s="206">
        <f t="shared" si="44"/>
        <v>0.27949416469146376</v>
      </c>
      <c r="AR63" s="206">
        <f t="shared" si="45"/>
        <v>3.0218089420955812</v>
      </c>
      <c r="AS63" s="71">
        <f t="shared" si="46"/>
        <v>0.12000000000000001</v>
      </c>
      <c r="AT63" s="74">
        <f t="shared" si="47"/>
        <v>3.6299999999999995E-5</v>
      </c>
      <c r="AU63" s="73">
        <f t="shared" si="26"/>
        <v>7.6287253957456178</v>
      </c>
      <c r="AV63" s="71">
        <f t="shared" si="27"/>
        <v>119.84000000000002</v>
      </c>
      <c r="AW63" s="74">
        <f t="shared" si="28"/>
        <v>94.015217950865122</v>
      </c>
    </row>
    <row r="64" spans="17:49" x14ac:dyDescent="0.25">
      <c r="Q64">
        <v>57</v>
      </c>
      <c r="R64" s="73">
        <f t="shared" si="0"/>
        <v>53.5</v>
      </c>
      <c r="S64" s="71">
        <f t="shared" si="32"/>
        <v>2.2800000000000002</v>
      </c>
      <c r="T64" s="71">
        <f t="shared" si="2"/>
        <v>11</v>
      </c>
      <c r="U64" s="74">
        <f t="shared" si="33"/>
        <v>11.089090909090912</v>
      </c>
      <c r="V64" s="73">
        <f>IF(Variable_Management!$B$20=3,2,IF((S64*R64/T64)&lt;((T64*(1-(T64/R64)))/(2*Lm*Fsw)),1,2))</f>
        <v>2</v>
      </c>
      <c r="W64" s="71">
        <f t="shared" si="34"/>
        <v>0.79439252336448596</v>
      </c>
      <c r="X64" s="74">
        <f t="shared" si="35"/>
        <v>0.20560747663551404</v>
      </c>
      <c r="Y64" s="73">
        <f t="shared" si="36"/>
        <v>5.8255451713395638</v>
      </c>
      <c r="Z64" s="71">
        <f t="shared" si="30"/>
        <v>14.001863494760693</v>
      </c>
      <c r="AA64" s="71">
        <f t="shared" si="31"/>
        <v>11.215882424878236</v>
      </c>
      <c r="AB64" s="71">
        <v>0</v>
      </c>
      <c r="AC64" s="71">
        <f t="shared" si="37"/>
        <v>0.28933084270799275</v>
      </c>
      <c r="AD64" s="74">
        <f t="shared" si="16"/>
        <v>0.28933084270799275</v>
      </c>
      <c r="AE64" s="73">
        <f t="shared" si="29"/>
        <v>8.8090909090909104</v>
      </c>
      <c r="AF64" s="71">
        <f t="shared" si="17"/>
        <v>9.996570242837759</v>
      </c>
      <c r="AG64" s="71">
        <f t="shared" si="38"/>
        <v>0.3997256664799575</v>
      </c>
      <c r="AH64" s="71">
        <f t="shared" si="39"/>
        <v>3.1490956893616269</v>
      </c>
      <c r="AI64" s="74">
        <f t="shared" si="19"/>
        <v>3.5488213558415844</v>
      </c>
      <c r="AJ64" s="73">
        <f t="shared" si="20"/>
        <v>2.2800000000000007</v>
      </c>
      <c r="AK64" s="71">
        <f t="shared" si="40"/>
        <v>5.085725311959262</v>
      </c>
      <c r="AL64" s="71">
        <f t="shared" si="41"/>
        <v>0.10345840779481254</v>
      </c>
      <c r="AM64" s="71">
        <f t="shared" si="48"/>
        <v>0</v>
      </c>
      <c r="AN64" s="188">
        <f t="shared" si="42"/>
        <v>0.16802236193712833</v>
      </c>
      <c r="AO64" s="74">
        <f t="shared" si="24"/>
        <v>0.27148076973194085</v>
      </c>
      <c r="AP64" s="73">
        <f t="shared" si="43"/>
        <v>0.18869402785303876</v>
      </c>
      <c r="AQ64" s="206">
        <f t="shared" si="44"/>
        <v>0.28933084270799275</v>
      </c>
      <c r="AR64" s="206">
        <f t="shared" si="45"/>
        <v>3.0218089420955812</v>
      </c>
      <c r="AS64" s="71">
        <f t="shared" si="46"/>
        <v>0.12000000000000001</v>
      </c>
      <c r="AT64" s="74">
        <f t="shared" si="47"/>
        <v>3.6299999999999995E-5</v>
      </c>
      <c r="AU64" s="73">
        <f t="shared" si="26"/>
        <v>7.7295030809381302</v>
      </c>
      <c r="AV64" s="71">
        <f t="shared" si="27"/>
        <v>121.98000000000002</v>
      </c>
      <c r="AW64" s="74">
        <f t="shared" si="28"/>
        <v>94.040912271389288</v>
      </c>
    </row>
    <row r="65" spans="17:49" x14ac:dyDescent="0.25">
      <c r="Q65">
        <v>58</v>
      </c>
      <c r="R65" s="73">
        <f t="shared" si="0"/>
        <v>53.5</v>
      </c>
      <c r="S65" s="71">
        <f t="shared" si="32"/>
        <v>2.3199999999999998</v>
      </c>
      <c r="T65" s="71">
        <f t="shared" si="2"/>
        <v>11</v>
      </c>
      <c r="U65" s="74">
        <f t="shared" si="33"/>
        <v>11.283636363636363</v>
      </c>
      <c r="V65" s="73">
        <f>IF(Variable_Management!$B$20=3,2,IF((S65*R65/T65)&lt;((T65*(1-(T65/R65)))/(2*Lm*Fsw)),1,2))</f>
        <v>2</v>
      </c>
      <c r="W65" s="71">
        <f t="shared" si="34"/>
        <v>0.79439252336448596</v>
      </c>
      <c r="X65" s="74">
        <f t="shared" si="35"/>
        <v>0.20560747663551404</v>
      </c>
      <c r="Y65" s="73">
        <f t="shared" si="36"/>
        <v>5.8255451713395638</v>
      </c>
      <c r="Z65" s="71">
        <f t="shared" si="30"/>
        <v>14.196408949306145</v>
      </c>
      <c r="AA65" s="71">
        <f t="shared" si="31"/>
        <v>11.408265905271785</v>
      </c>
      <c r="AB65" s="71">
        <v>0</v>
      </c>
      <c r="AC65" s="71">
        <f t="shared" si="37"/>
        <v>0.29934162122038926</v>
      </c>
      <c r="AD65" s="74">
        <f t="shared" si="16"/>
        <v>0.29934162122038926</v>
      </c>
      <c r="AE65" s="73">
        <f t="shared" si="29"/>
        <v>8.963636363636363</v>
      </c>
      <c r="AF65" s="71">
        <f t="shared" si="17"/>
        <v>10.168039138682268</v>
      </c>
      <c r="AG65" s="71">
        <f t="shared" si="38"/>
        <v>0.41355607970309777</v>
      </c>
      <c r="AH65" s="71">
        <f t="shared" si="39"/>
        <v>3.2043429821574438</v>
      </c>
      <c r="AI65" s="74">
        <f t="shared" si="19"/>
        <v>3.6178990618605416</v>
      </c>
      <c r="AJ65" s="73">
        <f t="shared" si="20"/>
        <v>2.3200000000000003</v>
      </c>
      <c r="AK65" s="71">
        <f t="shared" si="40"/>
        <v>5.172959601583238</v>
      </c>
      <c r="AL65" s="71">
        <f t="shared" si="41"/>
        <v>0.10703804415844886</v>
      </c>
      <c r="AM65" s="71">
        <f t="shared" si="48"/>
        <v>0</v>
      </c>
      <c r="AN65" s="188">
        <f t="shared" si="42"/>
        <v>0.17035690739167375</v>
      </c>
      <c r="AO65" s="74">
        <f t="shared" si="24"/>
        <v>0.27739495155012261</v>
      </c>
      <c r="AP65" s="73">
        <f t="shared" si="43"/>
        <v>0.19522279644807997</v>
      </c>
      <c r="AQ65" s="206">
        <f t="shared" si="44"/>
        <v>0.29934162122038926</v>
      </c>
      <c r="AR65" s="206">
        <f t="shared" si="45"/>
        <v>3.0218089420955812</v>
      </c>
      <c r="AS65" s="71">
        <f t="shared" si="46"/>
        <v>0.12000000000000001</v>
      </c>
      <c r="AT65" s="74">
        <f t="shared" si="47"/>
        <v>3.6299999999999995E-5</v>
      </c>
      <c r="AU65" s="73">
        <f t="shared" si="26"/>
        <v>7.8310452943951034</v>
      </c>
      <c r="AV65" s="71">
        <f t="shared" si="27"/>
        <v>124.11999999999999</v>
      </c>
      <c r="AW65" s="74">
        <f t="shared" si="28"/>
        <v>94.065188891135108</v>
      </c>
    </row>
    <row r="66" spans="17:49" x14ac:dyDescent="0.25">
      <c r="Q66">
        <v>59</v>
      </c>
      <c r="R66" s="73">
        <f t="shared" si="0"/>
        <v>53.5</v>
      </c>
      <c r="S66" s="71">
        <f t="shared" si="32"/>
        <v>2.36</v>
      </c>
      <c r="T66" s="71">
        <f t="shared" si="2"/>
        <v>11</v>
      </c>
      <c r="U66" s="74">
        <f t="shared" si="33"/>
        <v>11.478181818181817</v>
      </c>
      <c r="V66" s="73">
        <f>IF(Variable_Management!$B$20=3,2,IF((S66*R66/T66)&lt;((T66*(1-(T66/R66)))/(2*Lm*Fsw)),1,2))</f>
        <v>2</v>
      </c>
      <c r="W66" s="71">
        <f t="shared" si="34"/>
        <v>0.79439252336448596</v>
      </c>
      <c r="X66" s="74">
        <f t="shared" si="35"/>
        <v>0.20560747663551404</v>
      </c>
      <c r="Y66" s="73">
        <f t="shared" si="36"/>
        <v>5.8255451713395638</v>
      </c>
      <c r="Z66" s="71">
        <f t="shared" si="30"/>
        <v>14.390954403851598</v>
      </c>
      <c r="AA66" s="71">
        <f t="shared" si="31"/>
        <v>11.600721496090209</v>
      </c>
      <c r="AB66" s="71">
        <v>0</v>
      </c>
      <c r="AC66" s="71">
        <f t="shared" si="37"/>
        <v>0.30952650022865374</v>
      </c>
      <c r="AD66" s="74">
        <f t="shared" si="16"/>
        <v>0.30952650022865374</v>
      </c>
      <c r="AE66" s="73">
        <f t="shared" si="29"/>
        <v>9.1181818181818173</v>
      </c>
      <c r="AF66" s="71">
        <f t="shared" si="17"/>
        <v>10.339572305611314</v>
      </c>
      <c r="AG66" s="71">
        <f t="shared" si="38"/>
        <v>0.42762702185185786</v>
      </c>
      <c r="AH66" s="71">
        <f t="shared" si="39"/>
        <v>3.2595902749532621</v>
      </c>
      <c r="AI66" s="74">
        <f t="shared" si="19"/>
        <v>3.68721729680512</v>
      </c>
      <c r="AJ66" s="73">
        <f t="shared" si="20"/>
        <v>2.36</v>
      </c>
      <c r="AK66" s="71">
        <f t="shared" si="40"/>
        <v>5.2602265889298847</v>
      </c>
      <c r="AL66" s="71">
        <f t="shared" si="41"/>
        <v>0.11067993506753972</v>
      </c>
      <c r="AM66" s="71">
        <f t="shared" si="48"/>
        <v>0</v>
      </c>
      <c r="AN66" s="188">
        <f t="shared" si="42"/>
        <v>0.17269145284621917</v>
      </c>
      <c r="AO66" s="74">
        <f t="shared" si="24"/>
        <v>0.28337138791375888</v>
      </c>
      <c r="AP66" s="73">
        <f t="shared" si="43"/>
        <v>0.20186510884477421</v>
      </c>
      <c r="AQ66" s="206">
        <f t="shared" si="44"/>
        <v>0.30952650022865374</v>
      </c>
      <c r="AR66" s="206">
        <f t="shared" si="45"/>
        <v>3.0218089420955812</v>
      </c>
      <c r="AS66" s="71">
        <f t="shared" si="46"/>
        <v>0.12000000000000001</v>
      </c>
      <c r="AT66" s="74">
        <f t="shared" si="47"/>
        <v>3.6299999999999995E-5</v>
      </c>
      <c r="AU66" s="73">
        <f t="shared" si="26"/>
        <v>7.9333520361165419</v>
      </c>
      <c r="AV66" s="71">
        <f t="shared" si="27"/>
        <v>126.25999999999999</v>
      </c>
      <c r="AW66" s="74">
        <f t="shared" si="28"/>
        <v>94.088118438250675</v>
      </c>
    </row>
    <row r="67" spans="17:49" x14ac:dyDescent="0.25">
      <c r="Q67">
        <v>60</v>
      </c>
      <c r="R67" s="73">
        <f t="shared" si="0"/>
        <v>53.5</v>
      </c>
      <c r="S67" s="71">
        <f t="shared" si="32"/>
        <v>2.4</v>
      </c>
      <c r="T67" s="71">
        <f t="shared" si="2"/>
        <v>11</v>
      </c>
      <c r="U67" s="74">
        <f t="shared" si="33"/>
        <v>11.672727272727274</v>
      </c>
      <c r="V67" s="73">
        <f>IF(Variable_Management!$B$20=3,2,IF((S67*R67/T67)&lt;((T67*(1-(T67/R67)))/(2*Lm*Fsw)),1,2))</f>
        <v>2</v>
      </c>
      <c r="W67" s="71">
        <f t="shared" si="34"/>
        <v>0.79439252336448596</v>
      </c>
      <c r="X67" s="74">
        <f t="shared" si="35"/>
        <v>0.20560747663551404</v>
      </c>
      <c r="Y67" s="73">
        <f t="shared" si="36"/>
        <v>5.8255451713395638</v>
      </c>
      <c r="Z67" s="71">
        <f t="shared" si="30"/>
        <v>14.585499858397055</v>
      </c>
      <c r="AA67" s="71">
        <f t="shared" si="31"/>
        <v>11.793245666994345</v>
      </c>
      <c r="AB67" s="71">
        <v>0</v>
      </c>
      <c r="AC67" s="71">
        <f t="shared" si="37"/>
        <v>0.31988547973278603</v>
      </c>
      <c r="AD67" s="74">
        <f t="shared" si="16"/>
        <v>0.31988547973278603</v>
      </c>
      <c r="AE67" s="73">
        <f t="shared" si="29"/>
        <v>9.2727272727272734</v>
      </c>
      <c r="AF67" s="71">
        <f t="shared" si="17"/>
        <v>10.511166597079489</v>
      </c>
      <c r="AG67" s="71">
        <f t="shared" si="38"/>
        <v>0.44193849292623844</v>
      </c>
      <c r="AH67" s="71">
        <f t="shared" si="39"/>
        <v>3.3148375677490804</v>
      </c>
      <c r="AI67" s="74">
        <f t="shared" si="19"/>
        <v>3.7567760606753189</v>
      </c>
      <c r="AJ67" s="73">
        <f t="shared" si="20"/>
        <v>2.4000000000000004</v>
      </c>
      <c r="AK67" s="71">
        <f t="shared" si="40"/>
        <v>5.3475246732036039</v>
      </c>
      <c r="AL67" s="71">
        <f t="shared" si="41"/>
        <v>0.11438408052208525</v>
      </c>
      <c r="AM67" s="71">
        <f t="shared" si="48"/>
        <v>0</v>
      </c>
      <c r="AN67" s="188">
        <f t="shared" si="42"/>
        <v>0.17502599830076468</v>
      </c>
      <c r="AO67" s="74">
        <f t="shared" si="24"/>
        <v>0.28941007882284991</v>
      </c>
      <c r="AP67" s="73">
        <f t="shared" si="43"/>
        <v>0.20862096504312133</v>
      </c>
      <c r="AQ67" s="206">
        <f t="shared" si="44"/>
        <v>0.31988547973278603</v>
      </c>
      <c r="AR67" s="206">
        <f t="shared" si="45"/>
        <v>3.0218089420955812</v>
      </c>
      <c r="AS67" s="71">
        <f t="shared" si="46"/>
        <v>0.12000000000000001</v>
      </c>
      <c r="AT67" s="74">
        <f t="shared" si="47"/>
        <v>3.6299999999999995E-5</v>
      </c>
      <c r="AU67" s="73">
        <f t="shared" si="26"/>
        <v>8.0364233061024422</v>
      </c>
      <c r="AV67" s="71">
        <f t="shared" si="27"/>
        <v>128.4</v>
      </c>
      <c r="AW67" s="74">
        <f t="shared" si="28"/>
        <v>94.10976694392501</v>
      </c>
    </row>
    <row r="68" spans="17:49" x14ac:dyDescent="0.25">
      <c r="Q68">
        <v>61</v>
      </c>
      <c r="R68" s="73">
        <f t="shared" si="0"/>
        <v>53.5</v>
      </c>
      <c r="S68" s="71">
        <f t="shared" si="32"/>
        <v>2.44</v>
      </c>
      <c r="T68" s="71">
        <f t="shared" si="2"/>
        <v>11</v>
      </c>
      <c r="U68" s="74">
        <f t="shared" si="33"/>
        <v>11.867272727272727</v>
      </c>
      <c r="V68" s="73">
        <f>IF(Variable_Management!$B$20=3,2,IF((S68*R68/T68)&lt;((T68*(1-(T68/R68)))/(2*Lm*Fsw)),1,2))</f>
        <v>2</v>
      </c>
      <c r="W68" s="71">
        <f t="shared" si="34"/>
        <v>0.79439252336448596</v>
      </c>
      <c r="X68" s="74">
        <f t="shared" si="35"/>
        <v>0.20560747663551404</v>
      </c>
      <c r="Y68" s="73">
        <f t="shared" si="36"/>
        <v>5.8255451713395638</v>
      </c>
      <c r="Z68" s="71">
        <f t="shared" si="30"/>
        <v>14.780045312942509</v>
      </c>
      <c r="AA68" s="71">
        <f t="shared" si="31"/>
        <v>11.98583511325268</v>
      </c>
      <c r="AB68" s="71">
        <v>0</v>
      </c>
      <c r="AC68" s="71">
        <f t="shared" si="37"/>
        <v>0.330418559732786</v>
      </c>
      <c r="AD68" s="74">
        <f t="shared" si="16"/>
        <v>0.330418559732786</v>
      </c>
      <c r="AE68" s="73">
        <f t="shared" si="29"/>
        <v>9.4272727272727277</v>
      </c>
      <c r="AF68" s="71">
        <f t="shared" si="17"/>
        <v>10.682819067622534</v>
      </c>
      <c r="AG68" s="71">
        <f t="shared" si="38"/>
        <v>0.45649049292623828</v>
      </c>
      <c r="AH68" s="71">
        <f t="shared" si="39"/>
        <v>3.3700848605448979</v>
      </c>
      <c r="AI68" s="74">
        <f t="shared" si="19"/>
        <v>3.826575353471136</v>
      </c>
      <c r="AJ68" s="73">
        <f t="shared" si="20"/>
        <v>2.4400000000000004</v>
      </c>
      <c r="AK68" s="71">
        <f t="shared" si="40"/>
        <v>5.4348523559082365</v>
      </c>
      <c r="AL68" s="71">
        <f t="shared" si="41"/>
        <v>0.11815048052208524</v>
      </c>
      <c r="AM68" s="71">
        <f t="shared" si="48"/>
        <v>0</v>
      </c>
      <c r="AN68" s="188">
        <f t="shared" si="42"/>
        <v>0.1773605437553101</v>
      </c>
      <c r="AO68" s="74">
        <f t="shared" si="24"/>
        <v>0.29551102427739534</v>
      </c>
      <c r="AP68" s="73">
        <f t="shared" si="43"/>
        <v>0.21549036504312133</v>
      </c>
      <c r="AQ68" s="206">
        <f t="shared" si="44"/>
        <v>0.330418559732786</v>
      </c>
      <c r="AR68" s="206">
        <f t="shared" si="45"/>
        <v>3.0218089420955812</v>
      </c>
      <c r="AS68" s="71">
        <f t="shared" si="46"/>
        <v>0.12000000000000001</v>
      </c>
      <c r="AT68" s="74">
        <f t="shared" si="47"/>
        <v>3.6299999999999995E-5</v>
      </c>
      <c r="AU68" s="73">
        <f t="shared" si="26"/>
        <v>8.1402591043528059</v>
      </c>
      <c r="AV68" s="71">
        <f t="shared" si="27"/>
        <v>130.54</v>
      </c>
      <c r="AW68" s="74">
        <f t="shared" si="28"/>
        <v>94.130196210386742</v>
      </c>
    </row>
    <row r="69" spans="17:49" x14ac:dyDescent="0.25">
      <c r="Q69">
        <v>62</v>
      </c>
      <c r="R69" s="73">
        <f t="shared" si="0"/>
        <v>53.5</v>
      </c>
      <c r="S69" s="71">
        <f t="shared" si="32"/>
        <v>2.48</v>
      </c>
      <c r="T69" s="71">
        <f t="shared" si="2"/>
        <v>11</v>
      </c>
      <c r="U69" s="74">
        <f t="shared" si="33"/>
        <v>12.061818181818182</v>
      </c>
      <c r="V69" s="73">
        <f>IF(Variable_Management!$B$20=3,2,IF((S69*R69/T69)&lt;((T69*(1-(T69/R69)))/(2*Lm*Fsw)),1,2))</f>
        <v>2</v>
      </c>
      <c r="W69" s="71">
        <f t="shared" si="34"/>
        <v>0.79439252336448596</v>
      </c>
      <c r="X69" s="74">
        <f t="shared" si="35"/>
        <v>0.20560747663551404</v>
      </c>
      <c r="Y69" s="73">
        <f t="shared" si="36"/>
        <v>5.8255451713395638</v>
      </c>
      <c r="Z69" s="71">
        <f t="shared" si="30"/>
        <v>14.974590767487964</v>
      </c>
      <c r="AA69" s="71">
        <f t="shared" si="31"/>
        <v>12.178486738090635</v>
      </c>
      <c r="AB69" s="71">
        <v>0</v>
      </c>
      <c r="AC69" s="71">
        <f t="shared" si="37"/>
        <v>0.34112574022865383</v>
      </c>
      <c r="AD69" s="74">
        <f t="shared" si="16"/>
        <v>0.34112574022865383</v>
      </c>
      <c r="AE69" s="73">
        <f t="shared" si="29"/>
        <v>9.581818181818182</v>
      </c>
      <c r="AF69" s="71">
        <f t="shared" si="17"/>
        <v>10.854526957125517</v>
      </c>
      <c r="AG69" s="71">
        <f t="shared" si="38"/>
        <v>0.47128302185185811</v>
      </c>
      <c r="AH69" s="71">
        <f t="shared" si="39"/>
        <v>3.4253321533407162</v>
      </c>
      <c r="AI69" s="74">
        <f t="shared" si="19"/>
        <v>3.8966151751925744</v>
      </c>
      <c r="AJ69" s="73">
        <f t="shared" si="20"/>
        <v>2.4800000000000004</v>
      </c>
      <c r="AK69" s="71">
        <f t="shared" si="40"/>
        <v>5.5222082328435373</v>
      </c>
      <c r="AL69" s="71">
        <f t="shared" si="41"/>
        <v>0.12197913506753978</v>
      </c>
      <c r="AM69" s="71">
        <f t="shared" si="48"/>
        <v>0</v>
      </c>
      <c r="AN69" s="188">
        <f t="shared" si="42"/>
        <v>0.17969508920985558</v>
      </c>
      <c r="AO69" s="74">
        <f t="shared" si="24"/>
        <v>0.30167422427739538</v>
      </c>
      <c r="AP69" s="73">
        <f t="shared" si="43"/>
        <v>0.22247330884477423</v>
      </c>
      <c r="AQ69" s="206">
        <f t="shared" si="44"/>
        <v>0.34112574022865383</v>
      </c>
      <c r="AR69" s="206">
        <f t="shared" si="45"/>
        <v>3.0218089420955812</v>
      </c>
      <c r="AS69" s="71">
        <f t="shared" si="46"/>
        <v>0.12000000000000001</v>
      </c>
      <c r="AT69" s="74">
        <f t="shared" si="47"/>
        <v>3.6299999999999995E-5</v>
      </c>
      <c r="AU69" s="73">
        <f t="shared" si="26"/>
        <v>8.2448594308676313</v>
      </c>
      <c r="AV69" s="71">
        <f t="shared" si="27"/>
        <v>132.68</v>
      </c>
      <c r="AW69" s="74">
        <f t="shared" si="28"/>
        <v>94.149464144108492</v>
      </c>
    </row>
    <row r="70" spans="17:49" x14ac:dyDescent="0.25">
      <c r="Q70">
        <v>63</v>
      </c>
      <c r="R70" s="73">
        <f t="shared" si="0"/>
        <v>53.5</v>
      </c>
      <c r="S70" s="71">
        <f t="shared" si="32"/>
        <v>2.52</v>
      </c>
      <c r="T70" s="71">
        <f t="shared" si="2"/>
        <v>11</v>
      </c>
      <c r="U70" s="74">
        <f t="shared" si="33"/>
        <v>12.256363636363636</v>
      </c>
      <c r="V70" s="73">
        <f>IF(Variable_Management!$B$20=3,2,IF((S70*R70/T70)&lt;((T70*(1-(T70/R70)))/(2*Lm*Fsw)),1,2))</f>
        <v>2</v>
      </c>
      <c r="W70" s="71">
        <f t="shared" si="34"/>
        <v>0.79439252336448596</v>
      </c>
      <c r="X70" s="74">
        <f t="shared" si="35"/>
        <v>0.20560747663551404</v>
      </c>
      <c r="Y70" s="73">
        <f t="shared" si="36"/>
        <v>5.8255451713395638</v>
      </c>
      <c r="Z70" s="71">
        <f t="shared" si="30"/>
        <v>15.169136222033417</v>
      </c>
      <c r="AA70" s="71">
        <f t="shared" si="31"/>
        <v>12.371197636663421</v>
      </c>
      <c r="AB70" s="71">
        <v>0</v>
      </c>
      <c r="AC70" s="71">
        <f t="shared" si="37"/>
        <v>0.35200702122038918</v>
      </c>
      <c r="AD70" s="74">
        <f t="shared" si="16"/>
        <v>0.35200702122038918</v>
      </c>
      <c r="AE70" s="73">
        <f t="shared" si="29"/>
        <v>9.7363636363636363</v>
      </c>
      <c r="AF70" s="71">
        <f t="shared" si="17"/>
        <v>11.026287676538031</v>
      </c>
      <c r="AG70" s="71">
        <f t="shared" si="38"/>
        <v>0.48631607970309781</v>
      </c>
      <c r="AH70" s="71">
        <f t="shared" si="39"/>
        <v>3.4805794461365345</v>
      </c>
      <c r="AI70" s="74">
        <f t="shared" si="19"/>
        <v>3.9668955258396323</v>
      </c>
      <c r="AJ70" s="73">
        <f t="shared" si="20"/>
        <v>2.52</v>
      </c>
      <c r="AK70" s="71">
        <f t="shared" si="40"/>
        <v>5.6095909868378291</v>
      </c>
      <c r="AL70" s="71">
        <f t="shared" si="41"/>
        <v>0.12587004415844882</v>
      </c>
      <c r="AM70" s="71">
        <f t="shared" si="48"/>
        <v>0</v>
      </c>
      <c r="AN70" s="188">
        <f t="shared" si="42"/>
        <v>0.182029634664401</v>
      </c>
      <c r="AO70" s="74">
        <f t="shared" si="24"/>
        <v>0.30789967882284985</v>
      </c>
      <c r="AP70" s="73">
        <f t="shared" si="43"/>
        <v>0.22956979644807993</v>
      </c>
      <c r="AQ70" s="206">
        <f t="shared" si="44"/>
        <v>0.35200702122038918</v>
      </c>
      <c r="AR70" s="206">
        <f t="shared" si="45"/>
        <v>3.0218089420955812</v>
      </c>
      <c r="AS70" s="71">
        <f t="shared" si="46"/>
        <v>0.12000000000000001</v>
      </c>
      <c r="AT70" s="74">
        <f t="shared" si="47"/>
        <v>3.6299999999999995E-5</v>
      </c>
      <c r="AU70" s="73">
        <f t="shared" si="26"/>
        <v>8.350224285646922</v>
      </c>
      <c r="AV70" s="71">
        <f t="shared" si="27"/>
        <v>134.82</v>
      </c>
      <c r="AW70" s="74">
        <f t="shared" si="28"/>
        <v>94.167625057996034</v>
      </c>
    </row>
    <row r="71" spans="17:49" x14ac:dyDescent="0.25">
      <c r="Q71">
        <v>64</v>
      </c>
      <c r="R71" s="73">
        <f t="shared" ref="R71:R134" si="49">VOUT</f>
        <v>53.5</v>
      </c>
      <c r="S71" s="71">
        <f t="shared" ref="S71:S102" si="50">Q71*$O$12</f>
        <v>2.56</v>
      </c>
      <c r="T71" s="71">
        <f t="shared" ref="T71:T134" si="51">VIN_var</f>
        <v>11</v>
      </c>
      <c r="U71" s="74">
        <f t="shared" ref="U71:U102" si="52">(R71*S71)/(T71*EFF_est)</f>
        <v>12.450909090909091</v>
      </c>
      <c r="V71" s="73">
        <f>IF(Variable_Management!$B$20=3,2,IF((S71*R71/T71)&lt;((T71*(1-(T71/R71)))/(2*Lm*Fsw)),1,2))</f>
        <v>2</v>
      </c>
      <c r="W71" s="71">
        <f t="shared" ref="W71:W102" si="53">CHOOSE(V71,SQRT((2*S71*Lm*Fsw*(R71-T71))/((T71)^2)),1-(T71/R71))</f>
        <v>0.79439252336448596</v>
      </c>
      <c r="X71" s="74">
        <f t="shared" ref="X71:X102" si="54">CHOOSE(V71,(Lm*Z71*Fsw)/(R71-T71),1-W71)</f>
        <v>0.20560747663551404</v>
      </c>
      <c r="Y71" s="73">
        <f t="shared" ref="Y71:Y102" si="55">(T71*W71)/(Lm*Fsw)</f>
        <v>5.8255451713395638</v>
      </c>
      <c r="Z71" s="71">
        <f t="shared" si="30"/>
        <v>15.363681676578873</v>
      </c>
      <c r="AA71" s="71">
        <f t="shared" si="31"/>
        <v>12.56396508148174</v>
      </c>
      <c r="AB71" s="71">
        <v>0</v>
      </c>
      <c r="AC71" s="71">
        <f t="shared" ref="AC71:AC102" si="56">(AA71^2)*Rdcr</f>
        <v>0.36306240270799262</v>
      </c>
      <c r="AD71" s="74">
        <f t="shared" si="16"/>
        <v>0.36306240270799262</v>
      </c>
      <c r="AE71" s="73">
        <f t="shared" si="29"/>
        <v>9.8909090909090907</v>
      </c>
      <c r="AF71" s="71">
        <f t="shared" si="17"/>
        <v>11.198098794884306</v>
      </c>
      <c r="AG71" s="71">
        <f t="shared" ref="AG71:AG102" si="57">(AF71^2)*RDS_on</f>
        <v>0.5015896664799574</v>
      </c>
      <c r="AH71" s="71">
        <f t="shared" ref="AH71:AH102" si="58">((R71*U71)/2)*Fsw*(tr_sw+tf_sw)</f>
        <v>3.5358267389323523</v>
      </c>
      <c r="AI71" s="74">
        <f t="shared" si="19"/>
        <v>4.0374164054123094</v>
      </c>
      <c r="AJ71" s="73">
        <f t="shared" si="20"/>
        <v>2.5600000000000005</v>
      </c>
      <c r="AK71" s="71">
        <f t="shared" ref="AK71:AK102" si="59">CHOOSE(V71,Z71*SQRT(X71/3),SQRT(X71*((Z71^2)+((Y71^2)/3)-(Y71*Z71))))</f>
        <v>5.6969993811394364</v>
      </c>
      <c r="AL71" s="71">
        <f t="shared" ref="AL71:AL102" si="60">(AK71^2)*RDS_on_HS</f>
        <v>0.12982320779481249</v>
      </c>
      <c r="AM71" s="71">
        <f t="shared" si="48"/>
        <v>0</v>
      </c>
      <c r="AN71" s="188">
        <f t="shared" ref="AN71:AN102" si="61">Vd_rect*t_dead*Fsw*Z71</f>
        <v>0.18436418011894648</v>
      </c>
      <c r="AO71" s="74">
        <f t="shared" si="24"/>
        <v>0.314187387913759</v>
      </c>
      <c r="AP71" s="73">
        <f t="shared" ref="AP71:AP102" si="62">(AA71^2)*R_cs</f>
        <v>0.23677982785303869</v>
      </c>
      <c r="AQ71" s="206">
        <f t="shared" ref="AQ71:AQ102" si="63">Rdcr*AA71^2</f>
        <v>0.36306240270799262</v>
      </c>
      <c r="AR71" s="206">
        <f t="shared" ref="AR71:AR102" si="64">ABS(7.759*10^-3*Fsw^0.9458*(0.00787*Y71)^2.304)</f>
        <v>3.0218089420955812</v>
      </c>
      <c r="AS71" s="71">
        <f t="shared" ref="AS71:AS102" si="65">(Qg_tot+Qg_tot_HS)*Vcc*Fsw</f>
        <v>0.12000000000000001</v>
      </c>
      <c r="AT71" s="74">
        <f t="shared" ref="AT71:AT102" si="66">IQ*T71</f>
        <v>3.6299999999999995E-5</v>
      </c>
      <c r="AU71" s="73">
        <f t="shared" si="26"/>
        <v>8.4563536686906726</v>
      </c>
      <c r="AV71" s="71">
        <f t="shared" si="27"/>
        <v>136.96</v>
      </c>
      <c r="AW71" s="74">
        <f t="shared" si="28"/>
        <v>94.184729945878573</v>
      </c>
    </row>
    <row r="72" spans="17:49" x14ac:dyDescent="0.25">
      <c r="Q72">
        <v>65</v>
      </c>
      <c r="R72" s="73">
        <f t="shared" si="49"/>
        <v>53.5</v>
      </c>
      <c r="S72" s="71">
        <f t="shared" si="50"/>
        <v>2.6</v>
      </c>
      <c r="T72" s="71">
        <f t="shared" si="51"/>
        <v>11</v>
      </c>
      <c r="U72" s="74">
        <f t="shared" si="52"/>
        <v>12.645454545454545</v>
      </c>
      <c r="V72" s="73">
        <f>IF(Variable_Management!$B$20=3,2,IF((S72*R72/T72)&lt;((T72*(1-(T72/R72)))/(2*Lm*Fsw)),1,2))</f>
        <v>2</v>
      </c>
      <c r="W72" s="71">
        <f t="shared" si="53"/>
        <v>0.79439252336448596</v>
      </c>
      <c r="X72" s="74">
        <f t="shared" si="54"/>
        <v>0.20560747663551404</v>
      </c>
      <c r="Y72" s="73">
        <f t="shared" si="55"/>
        <v>5.8255451713395638</v>
      </c>
      <c r="Z72" s="71">
        <f t="shared" si="30"/>
        <v>15.558227131124326</v>
      </c>
      <c r="AA72" s="71">
        <f t="shared" si="31"/>
        <v>12.756786509139628</v>
      </c>
      <c r="AB72" s="71">
        <v>0</v>
      </c>
      <c r="AC72" s="71">
        <f t="shared" si="56"/>
        <v>0.37429188469146368</v>
      </c>
      <c r="AD72" s="74">
        <f t="shared" ref="AD72:AD135" si="67">AB72+AC72</f>
        <v>0.37429188469146368</v>
      </c>
      <c r="AE72" s="73">
        <f t="shared" si="29"/>
        <v>10.045454545454545</v>
      </c>
      <c r="AF72" s="71">
        <f t="shared" ref="AF72:AF135" si="68">CHOOSE(V72,Z72*SQRT(W72/3),SQRT(W72*((Z72^2)+((Y72^2)/3)-(Z72*Y72))))</f>
        <v>11.369958027433924</v>
      </c>
      <c r="AG72" s="71">
        <f t="shared" si="57"/>
        <v>0.51710378218243647</v>
      </c>
      <c r="AH72" s="71">
        <f t="shared" si="58"/>
        <v>3.5910740317281697</v>
      </c>
      <c r="AI72" s="74">
        <f t="shared" ref="AI72:AI135" si="69">AG72+AH72</f>
        <v>4.108177813910606</v>
      </c>
      <c r="AJ72" s="73">
        <f t="shared" ref="AJ72:AJ135" si="70">X72*U72</f>
        <v>2.6</v>
      </c>
      <c r="AK72" s="71">
        <f t="shared" si="59"/>
        <v>5.7844322533985704</v>
      </c>
      <c r="AL72" s="71">
        <f t="shared" si="60"/>
        <v>0.13383862597663065</v>
      </c>
      <c r="AM72" s="71">
        <f t="shared" ref="AM72:AM103" si="71">CHOOSE(V72,(R72+Vd_rect)*Qrr*Fsw,(R72+Vd_rect)*Qrr*Fsw)</f>
        <v>0</v>
      </c>
      <c r="AN72" s="188">
        <f t="shared" si="61"/>
        <v>0.18669872557349193</v>
      </c>
      <c r="AO72" s="74">
        <f t="shared" ref="AO72:AO135" si="72">AL72+AM72+AN72</f>
        <v>0.32053735155012258</v>
      </c>
      <c r="AP72" s="73">
        <f t="shared" si="62"/>
        <v>0.24410340305965025</v>
      </c>
      <c r="AQ72" s="206">
        <f t="shared" si="63"/>
        <v>0.37429188469146368</v>
      </c>
      <c r="AR72" s="206">
        <f t="shared" si="64"/>
        <v>3.0218089420955812</v>
      </c>
      <c r="AS72" s="71">
        <f t="shared" si="65"/>
        <v>0.12000000000000001</v>
      </c>
      <c r="AT72" s="74">
        <f t="shared" si="66"/>
        <v>3.6299999999999995E-5</v>
      </c>
      <c r="AU72" s="73">
        <f t="shared" ref="AU72:AU135" si="73">AP72+AO72+AI72+AD72+AS72+AT72+AQ72+AR72</f>
        <v>8.5632475799988867</v>
      </c>
      <c r="AV72" s="71">
        <f t="shared" ref="AV72:AV135" si="74">R72*S72</f>
        <v>139.1</v>
      </c>
      <c r="AW72" s="74">
        <f t="shared" ref="AW72:AW135" si="75">(AV72/(AV72+AU72))*100</f>
        <v>94.200826732217436</v>
      </c>
    </row>
    <row r="73" spans="17:49" x14ac:dyDescent="0.25">
      <c r="Q73">
        <v>66</v>
      </c>
      <c r="R73" s="73">
        <f t="shared" si="49"/>
        <v>53.5</v>
      </c>
      <c r="S73" s="71">
        <f t="shared" si="50"/>
        <v>2.64</v>
      </c>
      <c r="T73" s="71">
        <f t="shared" si="51"/>
        <v>11</v>
      </c>
      <c r="U73" s="74">
        <f t="shared" si="52"/>
        <v>12.840000000000002</v>
      </c>
      <c r="V73" s="73">
        <f>IF(Variable_Management!$B$20=3,2,IF((S73*R73/T73)&lt;((T73*(1-(T73/R73)))/(2*Lm*Fsw)),1,2))</f>
        <v>2</v>
      </c>
      <c r="W73" s="71">
        <f t="shared" si="53"/>
        <v>0.79439252336448596</v>
      </c>
      <c r="X73" s="74">
        <f t="shared" si="54"/>
        <v>0.20560747663551404</v>
      </c>
      <c r="Y73" s="73">
        <f t="shared" si="55"/>
        <v>5.8255451713395638</v>
      </c>
      <c r="Z73" s="71">
        <f t="shared" si="30"/>
        <v>15.752772585669783</v>
      </c>
      <c r="AA73" s="71">
        <f t="shared" si="31"/>
        <v>12.949659508211397</v>
      </c>
      <c r="AB73" s="71">
        <v>0</v>
      </c>
      <c r="AC73" s="71">
        <f t="shared" si="56"/>
        <v>0.38569546717080266</v>
      </c>
      <c r="AD73" s="74">
        <f t="shared" si="67"/>
        <v>0.38569546717080266</v>
      </c>
      <c r="AE73" s="73">
        <f t="shared" ref="AE73:AE136" si="76">U73*W73</f>
        <v>10.200000000000001</v>
      </c>
      <c r="AF73" s="71">
        <f t="shared" si="68"/>
        <v>11.541863224914509</v>
      </c>
      <c r="AG73" s="71">
        <f t="shared" si="57"/>
        <v>0.53285842681053586</v>
      </c>
      <c r="AH73" s="71">
        <f t="shared" si="58"/>
        <v>3.6463213245239881</v>
      </c>
      <c r="AI73" s="74">
        <f t="shared" si="69"/>
        <v>4.1791797513345239</v>
      </c>
      <c r="AJ73" s="73">
        <f t="shared" si="70"/>
        <v>2.6400000000000006</v>
      </c>
      <c r="AK73" s="71">
        <f t="shared" si="59"/>
        <v>5.871888510179315</v>
      </c>
      <c r="AL73" s="71">
        <f t="shared" si="60"/>
        <v>0.13791629870390343</v>
      </c>
      <c r="AM73" s="71">
        <f t="shared" si="71"/>
        <v>0</v>
      </c>
      <c r="AN73" s="188">
        <f t="shared" si="61"/>
        <v>0.18903327102803741</v>
      </c>
      <c r="AO73" s="74">
        <f t="shared" si="72"/>
        <v>0.32694956973194084</v>
      </c>
      <c r="AP73" s="73">
        <f t="shared" si="62"/>
        <v>0.25154052206791477</v>
      </c>
      <c r="AQ73" s="206">
        <f t="shared" si="63"/>
        <v>0.38569546717080266</v>
      </c>
      <c r="AR73" s="206">
        <f t="shared" si="64"/>
        <v>3.0218089420955812</v>
      </c>
      <c r="AS73" s="71">
        <f t="shared" si="65"/>
        <v>0.12000000000000001</v>
      </c>
      <c r="AT73" s="74">
        <f t="shared" si="66"/>
        <v>3.6299999999999995E-5</v>
      </c>
      <c r="AU73" s="73">
        <f t="shared" si="73"/>
        <v>8.6709060195715661</v>
      </c>
      <c r="AV73" s="71">
        <f t="shared" si="74"/>
        <v>141.24</v>
      </c>
      <c r="AW73" s="74">
        <f t="shared" si="75"/>
        <v>94.215960499605316</v>
      </c>
    </row>
    <row r="74" spans="17:49" x14ac:dyDescent="0.25">
      <c r="Q74">
        <v>67</v>
      </c>
      <c r="R74" s="73">
        <f t="shared" si="49"/>
        <v>53.5</v>
      </c>
      <c r="S74" s="71">
        <f t="shared" si="50"/>
        <v>2.68</v>
      </c>
      <c r="T74" s="71">
        <f t="shared" si="51"/>
        <v>11</v>
      </c>
      <c r="U74" s="74">
        <f t="shared" si="52"/>
        <v>13.034545454545453</v>
      </c>
      <c r="V74" s="73">
        <f>IF(Variable_Management!$B$20=3,2,IF((S74*R74/T74)&lt;((T74*(1-(T74/R74)))/(2*Lm*Fsw)),1,2))</f>
        <v>2</v>
      </c>
      <c r="W74" s="71">
        <f t="shared" si="53"/>
        <v>0.79439252336448596</v>
      </c>
      <c r="X74" s="74">
        <f t="shared" si="54"/>
        <v>0.20560747663551404</v>
      </c>
      <c r="Y74" s="73">
        <f t="shared" si="55"/>
        <v>5.8255451713395638</v>
      </c>
      <c r="Z74" s="71">
        <f t="shared" si="30"/>
        <v>15.947318040215235</v>
      </c>
      <c r="AA74" s="71">
        <f t="shared" si="31"/>
        <v>13.142581808199687</v>
      </c>
      <c r="AB74" s="71">
        <v>0</v>
      </c>
      <c r="AC74" s="71">
        <f t="shared" si="56"/>
        <v>0.39727315014600911</v>
      </c>
      <c r="AD74" s="74">
        <f t="shared" si="67"/>
        <v>0.39727315014600911</v>
      </c>
      <c r="AE74" s="73">
        <f t="shared" si="76"/>
        <v>10.354545454545454</v>
      </c>
      <c r="AF74" s="71">
        <f t="shared" si="68"/>
        <v>11.713812363661271</v>
      </c>
      <c r="AG74" s="71">
        <f t="shared" si="57"/>
        <v>0.54885360036425457</v>
      </c>
      <c r="AH74" s="71">
        <f t="shared" si="58"/>
        <v>3.7015686173198059</v>
      </c>
      <c r="AI74" s="74">
        <f t="shared" si="69"/>
        <v>4.2504222176840605</v>
      </c>
      <c r="AJ74" s="73">
        <f t="shared" si="70"/>
        <v>2.68</v>
      </c>
      <c r="AK74" s="71">
        <f t="shared" si="59"/>
        <v>5.9593671219482403</v>
      </c>
      <c r="AL74" s="71">
        <f t="shared" si="60"/>
        <v>0.14205622597663059</v>
      </c>
      <c r="AM74" s="71">
        <f t="shared" si="71"/>
        <v>0</v>
      </c>
      <c r="AN74" s="188">
        <f t="shared" si="61"/>
        <v>0.19136781648258283</v>
      </c>
      <c r="AO74" s="74">
        <f t="shared" si="72"/>
        <v>0.33342404245921342</v>
      </c>
      <c r="AP74" s="73">
        <f t="shared" si="62"/>
        <v>0.259091184877832</v>
      </c>
      <c r="AQ74" s="206">
        <f t="shared" si="63"/>
        <v>0.39727315014600911</v>
      </c>
      <c r="AR74" s="206">
        <f t="shared" si="64"/>
        <v>3.0218089420955812</v>
      </c>
      <c r="AS74" s="71">
        <f t="shared" si="65"/>
        <v>0.12000000000000001</v>
      </c>
      <c r="AT74" s="74">
        <f t="shared" si="66"/>
        <v>3.6299999999999995E-5</v>
      </c>
      <c r="AU74" s="73">
        <f t="shared" si="73"/>
        <v>8.7793289874087037</v>
      </c>
      <c r="AV74" s="71">
        <f t="shared" si="74"/>
        <v>143.38</v>
      </c>
      <c r="AW74" s="74">
        <f t="shared" si="75"/>
        <v>94.230173696326446</v>
      </c>
    </row>
    <row r="75" spans="17:49" x14ac:dyDescent="0.25">
      <c r="Q75">
        <v>68</v>
      </c>
      <c r="R75" s="73">
        <f t="shared" si="49"/>
        <v>53.5</v>
      </c>
      <c r="S75" s="71">
        <f t="shared" si="50"/>
        <v>2.72</v>
      </c>
      <c r="T75" s="71">
        <f t="shared" si="51"/>
        <v>11</v>
      </c>
      <c r="U75" s="74">
        <f t="shared" si="52"/>
        <v>13.22909090909091</v>
      </c>
      <c r="V75" s="73">
        <f>IF(Variable_Management!$B$20=3,2,IF((S75*R75/T75)&lt;((T75*(1-(T75/R75)))/(2*Lm*Fsw)),1,2))</f>
        <v>2</v>
      </c>
      <c r="W75" s="71">
        <f t="shared" si="53"/>
        <v>0.79439252336448596</v>
      </c>
      <c r="X75" s="74">
        <f t="shared" si="54"/>
        <v>0.20560747663551404</v>
      </c>
      <c r="Y75" s="73">
        <f t="shared" si="55"/>
        <v>5.8255451713395638</v>
      </c>
      <c r="Z75" s="71">
        <f t="shared" si="30"/>
        <v>16.141863494760692</v>
      </c>
      <c r="AA75" s="71">
        <f t="shared" si="31"/>
        <v>13.335551269430205</v>
      </c>
      <c r="AB75" s="71">
        <v>0</v>
      </c>
      <c r="AC75" s="71">
        <f t="shared" si="56"/>
        <v>0.40902493361708353</v>
      </c>
      <c r="AD75" s="74">
        <f t="shared" si="67"/>
        <v>0.40902493361708353</v>
      </c>
      <c r="AE75" s="73">
        <f t="shared" si="76"/>
        <v>10.50909090909091</v>
      </c>
      <c r="AF75" s="71">
        <f t="shared" si="68"/>
        <v>11.885803536610322</v>
      </c>
      <c r="AG75" s="71">
        <f t="shared" si="57"/>
        <v>0.56508930284359371</v>
      </c>
      <c r="AH75" s="71">
        <f t="shared" si="58"/>
        <v>3.7568159101156247</v>
      </c>
      <c r="AI75" s="74">
        <f t="shared" si="69"/>
        <v>4.3219052129592184</v>
      </c>
      <c r="AJ75" s="73">
        <f t="shared" si="70"/>
        <v>2.7200000000000006</v>
      </c>
      <c r="AK75" s="71">
        <f t="shared" si="59"/>
        <v>6.0468671184922798</v>
      </c>
      <c r="AL75" s="71">
        <f t="shared" si="60"/>
        <v>0.14625840779481253</v>
      </c>
      <c r="AM75" s="71">
        <f t="shared" si="71"/>
        <v>0</v>
      </c>
      <c r="AN75" s="188">
        <f t="shared" si="61"/>
        <v>0.19370236193712831</v>
      </c>
      <c r="AO75" s="74">
        <f t="shared" si="72"/>
        <v>0.33996076973194084</v>
      </c>
      <c r="AP75" s="73">
        <f t="shared" si="62"/>
        <v>0.2667553914894023</v>
      </c>
      <c r="AQ75" s="206">
        <f t="shared" si="63"/>
        <v>0.40902493361708353</v>
      </c>
      <c r="AR75" s="206">
        <f t="shared" si="64"/>
        <v>3.0218089420955812</v>
      </c>
      <c r="AS75" s="71">
        <f t="shared" si="65"/>
        <v>0.12000000000000001</v>
      </c>
      <c r="AT75" s="74">
        <f t="shared" si="66"/>
        <v>3.6299999999999995E-5</v>
      </c>
      <c r="AU75" s="73">
        <f t="shared" si="73"/>
        <v>8.8885164835103101</v>
      </c>
      <c r="AV75" s="71">
        <f t="shared" si="74"/>
        <v>145.52000000000001</v>
      </c>
      <c r="AW75" s="74">
        <f t="shared" si="75"/>
        <v>94.243506325987198</v>
      </c>
    </row>
    <row r="76" spans="17:49" x14ac:dyDescent="0.25">
      <c r="Q76">
        <v>69</v>
      </c>
      <c r="R76" s="73">
        <f t="shared" si="49"/>
        <v>53.5</v>
      </c>
      <c r="S76" s="71">
        <f t="shared" si="50"/>
        <v>2.7600000000000002</v>
      </c>
      <c r="T76" s="71">
        <f t="shared" si="51"/>
        <v>11</v>
      </c>
      <c r="U76" s="74">
        <f t="shared" si="52"/>
        <v>13.423636363636366</v>
      </c>
      <c r="V76" s="73">
        <f>IF(Variable_Management!$B$20=3,2,IF((S76*R76/T76)&lt;((T76*(1-(T76/R76)))/(2*Lm*Fsw)),1,2))</f>
        <v>2</v>
      </c>
      <c r="W76" s="71">
        <f t="shared" si="53"/>
        <v>0.79439252336448596</v>
      </c>
      <c r="X76" s="74">
        <f t="shared" si="54"/>
        <v>0.20560747663551404</v>
      </c>
      <c r="Y76" s="73">
        <f t="shared" si="55"/>
        <v>5.8255451713395638</v>
      </c>
      <c r="Z76" s="71">
        <f t="shared" si="30"/>
        <v>16.336408949306147</v>
      </c>
      <c r="AA76" s="71">
        <f t="shared" si="31"/>
        <v>13.528565873800163</v>
      </c>
      <c r="AB76" s="71">
        <v>0</v>
      </c>
      <c r="AC76" s="71">
        <f t="shared" si="56"/>
        <v>0.42095081758402586</v>
      </c>
      <c r="AD76" s="74">
        <f t="shared" si="67"/>
        <v>0.42095081758402586</v>
      </c>
      <c r="AE76" s="73">
        <f t="shared" si="76"/>
        <v>10.663636363636364</v>
      </c>
      <c r="AF76" s="71">
        <f t="shared" si="68"/>
        <v>12.057834945052869</v>
      </c>
      <c r="AG76" s="71">
        <f t="shared" si="57"/>
        <v>0.58156553424855262</v>
      </c>
      <c r="AH76" s="71">
        <f t="shared" si="58"/>
        <v>3.8120632029114425</v>
      </c>
      <c r="AI76" s="74">
        <f t="shared" si="69"/>
        <v>4.3936287371599949</v>
      </c>
      <c r="AJ76" s="73">
        <f t="shared" si="70"/>
        <v>2.7600000000000007</v>
      </c>
      <c r="AK76" s="71">
        <f t="shared" si="59"/>
        <v>6.1343875847236964</v>
      </c>
      <c r="AL76" s="71">
        <f t="shared" si="60"/>
        <v>0.15052284415844888</v>
      </c>
      <c r="AM76" s="71">
        <f t="shared" si="71"/>
        <v>0</v>
      </c>
      <c r="AN76" s="188">
        <f t="shared" si="61"/>
        <v>0.19603690739167376</v>
      </c>
      <c r="AO76" s="74">
        <f t="shared" si="72"/>
        <v>0.34655975155012264</v>
      </c>
      <c r="AP76" s="73">
        <f t="shared" si="62"/>
        <v>0.27453314190262557</v>
      </c>
      <c r="AQ76" s="206">
        <f t="shared" si="63"/>
        <v>0.42095081758402586</v>
      </c>
      <c r="AR76" s="206">
        <f t="shared" si="64"/>
        <v>3.0218089420955812</v>
      </c>
      <c r="AS76" s="71">
        <f t="shared" si="65"/>
        <v>0.12000000000000001</v>
      </c>
      <c r="AT76" s="74">
        <f t="shared" si="66"/>
        <v>3.6299999999999995E-5</v>
      </c>
      <c r="AU76" s="73">
        <f t="shared" si="73"/>
        <v>8.9984685078763746</v>
      </c>
      <c r="AV76" s="71">
        <f t="shared" si="74"/>
        <v>147.66000000000003</v>
      </c>
      <c r="AW76" s="74">
        <f t="shared" si="75"/>
        <v>94.255996120998759</v>
      </c>
    </row>
    <row r="77" spans="17:49" x14ac:dyDescent="0.25">
      <c r="Q77">
        <v>70</v>
      </c>
      <c r="R77" s="73">
        <f t="shared" si="49"/>
        <v>53.5</v>
      </c>
      <c r="S77" s="71">
        <f t="shared" si="50"/>
        <v>2.8000000000000003</v>
      </c>
      <c r="T77" s="71">
        <f t="shared" si="51"/>
        <v>11</v>
      </c>
      <c r="U77" s="74">
        <f t="shared" si="52"/>
        <v>13.618181818181819</v>
      </c>
      <c r="V77" s="73">
        <f>IF(Variable_Management!$B$20=3,2,IF((S77*R77/T77)&lt;((T77*(1-(T77/R77)))/(2*Lm*Fsw)),1,2))</f>
        <v>2</v>
      </c>
      <c r="W77" s="71">
        <f t="shared" si="53"/>
        <v>0.79439252336448596</v>
      </c>
      <c r="X77" s="74">
        <f t="shared" si="54"/>
        <v>0.20560747663551404</v>
      </c>
      <c r="Y77" s="73">
        <f t="shared" si="55"/>
        <v>5.8255451713395638</v>
      </c>
      <c r="Z77" s="71">
        <f t="shared" si="30"/>
        <v>16.530954403851602</v>
      </c>
      <c r="AA77" s="71">
        <f t="shared" si="31"/>
        <v>13.721623716297852</v>
      </c>
      <c r="AB77" s="71">
        <v>0</v>
      </c>
      <c r="AC77" s="71">
        <f t="shared" si="56"/>
        <v>0.43305080204683571</v>
      </c>
      <c r="AD77" s="74">
        <f t="shared" si="67"/>
        <v>0.43305080204683571</v>
      </c>
      <c r="AE77" s="73">
        <f t="shared" si="76"/>
        <v>10.818181818181818</v>
      </c>
      <c r="AF77" s="71">
        <f t="shared" si="68"/>
        <v>12.229904891076741</v>
      </c>
      <c r="AG77" s="71">
        <f t="shared" si="57"/>
        <v>0.59828229457913118</v>
      </c>
      <c r="AH77" s="71">
        <f t="shared" si="58"/>
        <v>3.8673104957072608</v>
      </c>
      <c r="AI77" s="74">
        <f t="shared" si="69"/>
        <v>4.4655927902863919</v>
      </c>
      <c r="AJ77" s="73">
        <f t="shared" si="70"/>
        <v>2.8000000000000007</v>
      </c>
      <c r="AK77" s="71">
        <f t="shared" si="59"/>
        <v>6.2219276568347333</v>
      </c>
      <c r="AL77" s="71">
        <f t="shared" si="60"/>
        <v>0.15484953506753982</v>
      </c>
      <c r="AM77" s="71">
        <f t="shared" si="71"/>
        <v>0</v>
      </c>
      <c r="AN77" s="188">
        <f t="shared" si="61"/>
        <v>0.19837145284621924</v>
      </c>
      <c r="AO77" s="74">
        <f t="shared" si="72"/>
        <v>0.35322098791375905</v>
      </c>
      <c r="AP77" s="73">
        <f t="shared" si="62"/>
        <v>0.28242443611750156</v>
      </c>
      <c r="AQ77" s="206">
        <f t="shared" si="63"/>
        <v>0.43305080204683571</v>
      </c>
      <c r="AR77" s="206">
        <f t="shared" si="64"/>
        <v>3.0218089420955812</v>
      </c>
      <c r="AS77" s="71">
        <f t="shared" si="65"/>
        <v>0.12000000000000001</v>
      </c>
      <c r="AT77" s="74">
        <f t="shared" si="66"/>
        <v>3.6299999999999995E-5</v>
      </c>
      <c r="AU77" s="73">
        <f t="shared" si="73"/>
        <v>9.1091850605069045</v>
      </c>
      <c r="AV77" s="71">
        <f t="shared" si="74"/>
        <v>149.80000000000001</v>
      </c>
      <c r="AW77" s="74">
        <f t="shared" si="75"/>
        <v>94.267678701493267</v>
      </c>
    </row>
    <row r="78" spans="17:49" x14ac:dyDescent="0.25">
      <c r="Q78">
        <v>71</v>
      </c>
      <c r="R78" s="73">
        <f t="shared" si="49"/>
        <v>53.5</v>
      </c>
      <c r="S78" s="71">
        <f t="shared" si="50"/>
        <v>2.84</v>
      </c>
      <c r="T78" s="71">
        <f t="shared" si="51"/>
        <v>11</v>
      </c>
      <c r="U78" s="74">
        <f t="shared" si="52"/>
        <v>13.812727272727273</v>
      </c>
      <c r="V78" s="73">
        <f>IF(Variable_Management!$B$20=3,2,IF((S78*R78/T78)&lt;((T78*(1-(T78/R78)))/(2*Lm*Fsw)),1,2))</f>
        <v>2</v>
      </c>
      <c r="W78" s="71">
        <f t="shared" si="53"/>
        <v>0.79439252336448596</v>
      </c>
      <c r="X78" s="74">
        <f t="shared" si="54"/>
        <v>0.20560747663551404</v>
      </c>
      <c r="Y78" s="73">
        <f t="shared" si="55"/>
        <v>5.8255451713395638</v>
      </c>
      <c r="Z78" s="71">
        <f t="shared" si="30"/>
        <v>16.725499858397054</v>
      </c>
      <c r="AA78" s="71">
        <f t="shared" si="31"/>
        <v>13.914722997219657</v>
      </c>
      <c r="AB78" s="71">
        <v>0</v>
      </c>
      <c r="AC78" s="71">
        <f t="shared" si="56"/>
        <v>0.44532488700551326</v>
      </c>
      <c r="AD78" s="74">
        <f t="shared" si="67"/>
        <v>0.44532488700551326</v>
      </c>
      <c r="AE78" s="73">
        <f t="shared" si="76"/>
        <v>10.972727272727273</v>
      </c>
      <c r="AF78" s="71">
        <f t="shared" si="68"/>
        <v>12.402011770629484</v>
      </c>
      <c r="AG78" s="71">
        <f t="shared" si="57"/>
        <v>0.61523958383532906</v>
      </c>
      <c r="AH78" s="71">
        <f t="shared" si="58"/>
        <v>3.9225577885030782</v>
      </c>
      <c r="AI78" s="74">
        <f t="shared" si="69"/>
        <v>4.5377973723384075</v>
      </c>
      <c r="AJ78" s="73">
        <f t="shared" si="70"/>
        <v>2.8400000000000003</v>
      </c>
      <c r="AK78" s="71">
        <f t="shared" si="59"/>
        <v>6.3094865187684883</v>
      </c>
      <c r="AL78" s="71">
        <f t="shared" si="60"/>
        <v>0.1592384805220852</v>
      </c>
      <c r="AM78" s="71">
        <f t="shared" si="71"/>
        <v>0</v>
      </c>
      <c r="AN78" s="188">
        <f t="shared" si="61"/>
        <v>0.20070599830076466</v>
      </c>
      <c r="AO78" s="74">
        <f t="shared" si="72"/>
        <v>0.35994447882284986</v>
      </c>
      <c r="AP78" s="73">
        <f t="shared" si="62"/>
        <v>0.29042927413403041</v>
      </c>
      <c r="AQ78" s="206">
        <f t="shared" si="63"/>
        <v>0.44532488700551326</v>
      </c>
      <c r="AR78" s="206">
        <f t="shared" si="64"/>
        <v>3.0218089420955812</v>
      </c>
      <c r="AS78" s="71">
        <f t="shared" si="65"/>
        <v>0.12000000000000001</v>
      </c>
      <c r="AT78" s="74">
        <f t="shared" si="66"/>
        <v>3.6299999999999995E-5</v>
      </c>
      <c r="AU78" s="73">
        <f t="shared" si="73"/>
        <v>9.2206661414018942</v>
      </c>
      <c r="AV78" s="71">
        <f t="shared" si="74"/>
        <v>151.94</v>
      </c>
      <c r="AW78" s="74">
        <f t="shared" si="75"/>
        <v>94.278587721080953</v>
      </c>
    </row>
    <row r="79" spans="17:49" x14ac:dyDescent="0.25">
      <c r="Q79">
        <v>72</v>
      </c>
      <c r="R79" s="73">
        <f t="shared" si="49"/>
        <v>53.5</v>
      </c>
      <c r="S79" s="71">
        <f t="shared" si="50"/>
        <v>2.88</v>
      </c>
      <c r="T79" s="71">
        <f t="shared" si="51"/>
        <v>11</v>
      </c>
      <c r="U79" s="74">
        <f t="shared" si="52"/>
        <v>14.007272727272726</v>
      </c>
      <c r="V79" s="73">
        <f>IF(Variable_Management!$B$20=3,2,IF((S79*R79/T79)&lt;((T79*(1-(T79/R79)))/(2*Lm*Fsw)),1,2))</f>
        <v>2</v>
      </c>
      <c r="W79" s="71">
        <f t="shared" si="53"/>
        <v>0.79439252336448596</v>
      </c>
      <c r="X79" s="74">
        <f t="shared" si="54"/>
        <v>0.20560747663551404</v>
      </c>
      <c r="Y79" s="73">
        <f t="shared" si="55"/>
        <v>5.8255451713395638</v>
      </c>
      <c r="Z79" s="71">
        <f t="shared" si="30"/>
        <v>16.920045312942509</v>
      </c>
      <c r="AA79" s="71">
        <f t="shared" si="31"/>
        <v>14.107862015018721</v>
      </c>
      <c r="AB79" s="71">
        <v>0</v>
      </c>
      <c r="AC79" s="71">
        <f t="shared" si="56"/>
        <v>0.45777307246005861</v>
      </c>
      <c r="AD79" s="74">
        <f t="shared" si="67"/>
        <v>0.45777307246005861</v>
      </c>
      <c r="AE79" s="73">
        <f t="shared" si="76"/>
        <v>11.127272727272725</v>
      </c>
      <c r="AF79" s="71">
        <f t="shared" si="68"/>
        <v>12.57415406714451</v>
      </c>
      <c r="AG79" s="71">
        <f t="shared" si="57"/>
        <v>0.63243740201714727</v>
      </c>
      <c r="AH79" s="71">
        <f t="shared" si="58"/>
        <v>3.9778050812988961</v>
      </c>
      <c r="AI79" s="74">
        <f t="shared" si="69"/>
        <v>4.6102424833160436</v>
      </c>
      <c r="AJ79" s="73">
        <f t="shared" si="70"/>
        <v>2.88</v>
      </c>
      <c r="AK79" s="71">
        <f t="shared" si="59"/>
        <v>6.3970633989762291</v>
      </c>
      <c r="AL79" s="71">
        <f t="shared" si="60"/>
        <v>0.16368968052208521</v>
      </c>
      <c r="AM79" s="71">
        <f t="shared" si="71"/>
        <v>0</v>
      </c>
      <c r="AN79" s="188">
        <f t="shared" si="61"/>
        <v>0.20304054375531011</v>
      </c>
      <c r="AO79" s="74">
        <f t="shared" si="72"/>
        <v>0.36673022427739532</v>
      </c>
      <c r="AP79" s="73">
        <f t="shared" si="62"/>
        <v>0.29854765595221211</v>
      </c>
      <c r="AQ79" s="206">
        <f t="shared" si="63"/>
        <v>0.45777307246005861</v>
      </c>
      <c r="AR79" s="206">
        <f t="shared" si="64"/>
        <v>3.0218089420955812</v>
      </c>
      <c r="AS79" s="71">
        <f t="shared" si="65"/>
        <v>0.12000000000000001</v>
      </c>
      <c r="AT79" s="74">
        <f t="shared" si="66"/>
        <v>3.6299999999999995E-5</v>
      </c>
      <c r="AU79" s="73">
        <f t="shared" si="73"/>
        <v>9.3329117505613493</v>
      </c>
      <c r="AV79" s="71">
        <f t="shared" si="74"/>
        <v>154.07999999999998</v>
      </c>
      <c r="AW79" s="74">
        <f t="shared" si="75"/>
        <v>94.288755000701897</v>
      </c>
    </row>
    <row r="80" spans="17:49" x14ac:dyDescent="0.25">
      <c r="Q80">
        <v>73</v>
      </c>
      <c r="R80" s="73">
        <f t="shared" si="49"/>
        <v>53.5</v>
      </c>
      <c r="S80" s="71">
        <f t="shared" si="50"/>
        <v>2.92</v>
      </c>
      <c r="T80" s="71">
        <f t="shared" si="51"/>
        <v>11</v>
      </c>
      <c r="U80" s="74">
        <f t="shared" si="52"/>
        <v>14.201818181818181</v>
      </c>
      <c r="V80" s="73">
        <f>IF(Variable_Management!$B$20=3,2,IF((S80*R80/T80)&lt;((T80*(1-(T80/R80)))/(2*Lm*Fsw)),1,2))</f>
        <v>2</v>
      </c>
      <c r="W80" s="71">
        <f t="shared" si="53"/>
        <v>0.79439252336448596</v>
      </c>
      <c r="X80" s="74">
        <f t="shared" si="54"/>
        <v>0.20560747663551404</v>
      </c>
      <c r="Y80" s="73">
        <f t="shared" si="55"/>
        <v>5.8255451713395638</v>
      </c>
      <c r="Z80" s="71">
        <f t="shared" ref="Z80:Z143" si="77">CHOOSE(V80,Y80,U80+(0.5*Y80))</f>
        <v>17.114590767487964</v>
      </c>
      <c r="AA80" s="71">
        <f t="shared" ref="AA80:AA143" si="78">CHOOSE(V80,Z80*SQRT((W80+X80)/3),SQRT((U80^2)+((Y80^2)/12)))</f>
        <v>14.301039159726516</v>
      </c>
      <c r="AB80" s="71">
        <v>0</v>
      </c>
      <c r="AC80" s="71">
        <f t="shared" si="56"/>
        <v>0.47039535841047198</v>
      </c>
      <c r="AD80" s="74">
        <f t="shared" si="67"/>
        <v>0.47039535841047198</v>
      </c>
      <c r="AE80" s="73">
        <f t="shared" si="76"/>
        <v>11.281818181818181</v>
      </c>
      <c r="AF80" s="71">
        <f t="shared" si="68"/>
        <v>12.746330345677785</v>
      </c>
      <c r="AG80" s="71">
        <f t="shared" si="57"/>
        <v>0.64987574912458546</v>
      </c>
      <c r="AH80" s="71">
        <f t="shared" si="58"/>
        <v>4.033052374094714</v>
      </c>
      <c r="AI80" s="74">
        <f t="shared" si="69"/>
        <v>4.6829281232192992</v>
      </c>
      <c r="AJ80" s="73">
        <f t="shared" si="70"/>
        <v>2.9200000000000004</v>
      </c>
      <c r="AK80" s="71">
        <f t="shared" si="59"/>
        <v>6.4846575674344553</v>
      </c>
      <c r="AL80" s="71">
        <f t="shared" si="60"/>
        <v>0.16820313506753978</v>
      </c>
      <c r="AM80" s="71">
        <f t="shared" si="71"/>
        <v>0</v>
      </c>
      <c r="AN80" s="188">
        <f t="shared" si="61"/>
        <v>0.20537508920985559</v>
      </c>
      <c r="AO80" s="74">
        <f t="shared" si="72"/>
        <v>0.3735782242773954</v>
      </c>
      <c r="AP80" s="73">
        <f t="shared" si="62"/>
        <v>0.30677958157204693</v>
      </c>
      <c r="AQ80" s="206">
        <f t="shared" si="63"/>
        <v>0.47039535841047198</v>
      </c>
      <c r="AR80" s="206">
        <f t="shared" si="64"/>
        <v>3.0218089420955812</v>
      </c>
      <c r="AS80" s="71">
        <f t="shared" si="65"/>
        <v>0.12000000000000001</v>
      </c>
      <c r="AT80" s="74">
        <f t="shared" si="66"/>
        <v>3.6299999999999995E-5</v>
      </c>
      <c r="AU80" s="73">
        <f t="shared" si="73"/>
        <v>9.445921887985266</v>
      </c>
      <c r="AV80" s="71">
        <f t="shared" si="74"/>
        <v>156.22</v>
      </c>
      <c r="AW80" s="74">
        <f t="shared" si="75"/>
        <v>94.298210651692088</v>
      </c>
    </row>
    <row r="81" spans="17:49" x14ac:dyDescent="0.25">
      <c r="Q81">
        <v>74</v>
      </c>
      <c r="R81" s="73">
        <f t="shared" si="49"/>
        <v>53.5</v>
      </c>
      <c r="S81" s="71">
        <f t="shared" si="50"/>
        <v>2.96</v>
      </c>
      <c r="T81" s="71">
        <f t="shared" si="51"/>
        <v>11</v>
      </c>
      <c r="U81" s="74">
        <f t="shared" si="52"/>
        <v>14.396363636363635</v>
      </c>
      <c r="V81" s="73">
        <f>IF(Variable_Management!$B$20=3,2,IF((S81*R81/T81)&lt;((T81*(1-(T81/R81)))/(2*Lm*Fsw)),1,2))</f>
        <v>2</v>
      </c>
      <c r="W81" s="71">
        <f t="shared" si="53"/>
        <v>0.79439252336448596</v>
      </c>
      <c r="X81" s="74">
        <f t="shared" si="54"/>
        <v>0.20560747663551404</v>
      </c>
      <c r="Y81" s="73">
        <f t="shared" si="55"/>
        <v>5.8255451713395638</v>
      </c>
      <c r="Z81" s="71">
        <f t="shared" si="77"/>
        <v>17.309136222033416</v>
      </c>
      <c r="AA81" s="71">
        <f t="shared" si="78"/>
        <v>14.494252906894614</v>
      </c>
      <c r="AB81" s="71">
        <v>0</v>
      </c>
      <c r="AC81" s="71">
        <f t="shared" si="56"/>
        <v>0.48319174485675281</v>
      </c>
      <c r="AD81" s="74">
        <f t="shared" si="67"/>
        <v>0.48319174485675281</v>
      </c>
      <c r="AE81" s="73">
        <f t="shared" si="76"/>
        <v>11.436363636363634</v>
      </c>
      <c r="AF81" s="71">
        <f t="shared" si="68"/>
        <v>12.918539247508241</v>
      </c>
      <c r="AG81" s="71">
        <f t="shared" si="57"/>
        <v>0.66755462515764319</v>
      </c>
      <c r="AH81" s="71">
        <f t="shared" si="58"/>
        <v>4.0882996668905323</v>
      </c>
      <c r="AI81" s="74">
        <f t="shared" si="69"/>
        <v>4.7558542920481752</v>
      </c>
      <c r="AJ81" s="73">
        <f t="shared" si="70"/>
        <v>2.96</v>
      </c>
      <c r="AK81" s="71">
        <f t="shared" si="59"/>
        <v>6.5722683328978739</v>
      </c>
      <c r="AL81" s="71">
        <f t="shared" si="60"/>
        <v>0.1727788441584488</v>
      </c>
      <c r="AM81" s="71">
        <f t="shared" si="71"/>
        <v>0</v>
      </c>
      <c r="AN81" s="188">
        <f t="shared" si="61"/>
        <v>0.20770963466440101</v>
      </c>
      <c r="AO81" s="74">
        <f t="shared" si="72"/>
        <v>0.38048847882284981</v>
      </c>
      <c r="AP81" s="73">
        <f t="shared" si="62"/>
        <v>0.31512505099353444</v>
      </c>
      <c r="AQ81" s="206">
        <f t="shared" si="63"/>
        <v>0.48319174485675281</v>
      </c>
      <c r="AR81" s="206">
        <f t="shared" si="64"/>
        <v>3.0218089420955812</v>
      </c>
      <c r="AS81" s="71">
        <f t="shared" si="65"/>
        <v>0.12000000000000001</v>
      </c>
      <c r="AT81" s="74">
        <f t="shared" si="66"/>
        <v>3.6299999999999995E-5</v>
      </c>
      <c r="AU81" s="73">
        <f t="shared" si="73"/>
        <v>9.5596965536736462</v>
      </c>
      <c r="AV81" s="71">
        <f t="shared" si="74"/>
        <v>158.35999999999999</v>
      </c>
      <c r="AW81" s="74">
        <f t="shared" si="75"/>
        <v>94.306983189063814</v>
      </c>
    </row>
    <row r="82" spans="17:49" x14ac:dyDescent="0.25">
      <c r="Q82">
        <v>75</v>
      </c>
      <c r="R82" s="73">
        <f t="shared" si="49"/>
        <v>53.5</v>
      </c>
      <c r="S82" s="71">
        <f t="shared" si="50"/>
        <v>3</v>
      </c>
      <c r="T82" s="71">
        <f t="shared" si="51"/>
        <v>11</v>
      </c>
      <c r="U82" s="74">
        <f t="shared" si="52"/>
        <v>14.590909090909092</v>
      </c>
      <c r="V82" s="73">
        <f>IF(Variable_Management!$B$20=3,2,IF((S82*R82/T82)&lt;((T82*(1-(T82/R82)))/(2*Lm*Fsw)),1,2))</f>
        <v>2</v>
      </c>
      <c r="W82" s="71">
        <f t="shared" si="53"/>
        <v>0.79439252336448596</v>
      </c>
      <c r="X82" s="74">
        <f t="shared" si="54"/>
        <v>0.20560747663551404</v>
      </c>
      <c r="Y82" s="73">
        <f t="shared" si="55"/>
        <v>5.8255451713395638</v>
      </c>
      <c r="Z82" s="71">
        <f t="shared" si="77"/>
        <v>17.503681676578875</v>
      </c>
      <c r="AA82" s="71">
        <f t="shared" si="78"/>
        <v>14.687501812009534</v>
      </c>
      <c r="AB82" s="71">
        <v>0</v>
      </c>
      <c r="AC82" s="71">
        <f t="shared" si="56"/>
        <v>0.49616223179890173</v>
      </c>
      <c r="AD82" s="74">
        <f t="shared" si="67"/>
        <v>0.49616223179890173</v>
      </c>
      <c r="AE82" s="73">
        <f t="shared" si="76"/>
        <v>11.590909090909092</v>
      </c>
      <c r="AF82" s="71">
        <f t="shared" si="68"/>
        <v>13.090779485159784</v>
      </c>
      <c r="AG82" s="71">
        <f t="shared" si="57"/>
        <v>0.68547403011632102</v>
      </c>
      <c r="AH82" s="71">
        <f t="shared" si="58"/>
        <v>4.1435469596863506</v>
      </c>
      <c r="AI82" s="74">
        <f t="shared" si="69"/>
        <v>4.8290209898026717</v>
      </c>
      <c r="AJ82" s="73">
        <f t="shared" si="70"/>
        <v>3.0000000000000004</v>
      </c>
      <c r="AK82" s="71">
        <f t="shared" si="59"/>
        <v>6.6598950403668624</v>
      </c>
      <c r="AL82" s="71">
        <f t="shared" si="60"/>
        <v>0.17741680779481256</v>
      </c>
      <c r="AM82" s="71">
        <f t="shared" si="71"/>
        <v>0</v>
      </c>
      <c r="AN82" s="188">
        <f t="shared" si="61"/>
        <v>0.21004418011894652</v>
      </c>
      <c r="AO82" s="74">
        <f t="shared" si="72"/>
        <v>0.38746098791375905</v>
      </c>
      <c r="AP82" s="73">
        <f t="shared" si="62"/>
        <v>0.32358406421667502</v>
      </c>
      <c r="AQ82" s="206">
        <f t="shared" si="63"/>
        <v>0.49616223179890173</v>
      </c>
      <c r="AR82" s="206">
        <f t="shared" si="64"/>
        <v>3.0218089420955812</v>
      </c>
      <c r="AS82" s="71">
        <f t="shared" si="65"/>
        <v>0.12000000000000001</v>
      </c>
      <c r="AT82" s="74">
        <f t="shared" si="66"/>
        <v>3.6299999999999995E-5</v>
      </c>
      <c r="AU82" s="73">
        <f t="shared" si="73"/>
        <v>9.67423574762649</v>
      </c>
      <c r="AV82" s="71">
        <f t="shared" si="74"/>
        <v>160.5</v>
      </c>
      <c r="AW82" s="74">
        <f t="shared" si="75"/>
        <v>94.3150996358969</v>
      </c>
    </row>
    <row r="83" spans="17:49" x14ac:dyDescent="0.25">
      <c r="Q83">
        <v>76</v>
      </c>
      <c r="R83" s="73">
        <f t="shared" si="49"/>
        <v>53.5</v>
      </c>
      <c r="S83" s="71">
        <f t="shared" si="50"/>
        <v>3.04</v>
      </c>
      <c r="T83" s="71">
        <f t="shared" si="51"/>
        <v>11</v>
      </c>
      <c r="U83" s="74">
        <f t="shared" si="52"/>
        <v>14.785454545454547</v>
      </c>
      <c r="V83" s="73">
        <f>IF(Variable_Management!$B$20=3,2,IF((S83*R83/T83)&lt;((T83*(1-(T83/R83)))/(2*Lm*Fsw)),1,2))</f>
        <v>2</v>
      </c>
      <c r="W83" s="71">
        <f t="shared" si="53"/>
        <v>0.79439252336448596</v>
      </c>
      <c r="X83" s="74">
        <f t="shared" si="54"/>
        <v>0.20560747663551404</v>
      </c>
      <c r="Y83" s="73">
        <f t="shared" si="55"/>
        <v>5.8255451713395638</v>
      </c>
      <c r="Z83" s="71">
        <f t="shared" si="77"/>
        <v>17.69822713112433</v>
      </c>
      <c r="AA83" s="71">
        <f t="shared" si="78"/>
        <v>14.880784505338163</v>
      </c>
      <c r="AB83" s="71">
        <v>0</v>
      </c>
      <c r="AC83" s="71">
        <f t="shared" si="56"/>
        <v>0.50930681923691834</v>
      </c>
      <c r="AD83" s="74">
        <f t="shared" si="67"/>
        <v>0.50930681923691834</v>
      </c>
      <c r="AE83" s="73">
        <f t="shared" si="76"/>
        <v>11.745454545454546</v>
      </c>
      <c r="AF83" s="71">
        <f t="shared" si="68"/>
        <v>13.26304983780709</v>
      </c>
      <c r="AG83" s="71">
        <f t="shared" si="57"/>
        <v>0.70363396400061873</v>
      </c>
      <c r="AH83" s="71">
        <f t="shared" si="58"/>
        <v>4.1987942524821689</v>
      </c>
      <c r="AI83" s="74">
        <f t="shared" si="69"/>
        <v>4.9024282164827877</v>
      </c>
      <c r="AJ83" s="73">
        <f t="shared" si="70"/>
        <v>3.0400000000000005</v>
      </c>
      <c r="AK83" s="71">
        <f t="shared" si="59"/>
        <v>6.7475370687501739</v>
      </c>
      <c r="AL83" s="71">
        <f t="shared" si="60"/>
        <v>0.18211702597663074</v>
      </c>
      <c r="AM83" s="71">
        <f t="shared" si="71"/>
        <v>0</v>
      </c>
      <c r="AN83" s="188">
        <f t="shared" si="61"/>
        <v>0.21237872557349197</v>
      </c>
      <c r="AO83" s="74">
        <f t="shared" si="72"/>
        <v>0.39449575155012273</v>
      </c>
      <c r="AP83" s="73">
        <f t="shared" si="62"/>
        <v>0.3321566212414685</v>
      </c>
      <c r="AQ83" s="206">
        <f t="shared" si="63"/>
        <v>0.50930681923691834</v>
      </c>
      <c r="AR83" s="206">
        <f t="shared" si="64"/>
        <v>3.0218089420955812</v>
      </c>
      <c r="AS83" s="71">
        <f t="shared" si="65"/>
        <v>0.12000000000000001</v>
      </c>
      <c r="AT83" s="74">
        <f t="shared" si="66"/>
        <v>3.6299999999999995E-5</v>
      </c>
      <c r="AU83" s="73">
        <f t="shared" si="73"/>
        <v>9.7895394698437954</v>
      </c>
      <c r="AV83" s="71">
        <f t="shared" si="74"/>
        <v>162.64000000000001</v>
      </c>
      <c r="AW83" s="74">
        <f t="shared" si="75"/>
        <v>94.322585619643277</v>
      </c>
    </row>
    <row r="84" spans="17:49" x14ac:dyDescent="0.25">
      <c r="Q84">
        <v>77</v>
      </c>
      <c r="R84" s="73">
        <f t="shared" si="49"/>
        <v>53.5</v>
      </c>
      <c r="S84" s="71">
        <f t="shared" si="50"/>
        <v>3.08</v>
      </c>
      <c r="T84" s="71">
        <f t="shared" si="51"/>
        <v>11</v>
      </c>
      <c r="U84" s="74">
        <f t="shared" si="52"/>
        <v>14.98</v>
      </c>
      <c r="V84" s="73">
        <f>IF(Variable_Management!$B$20=3,2,IF((S84*R84/T84)&lt;((T84*(1-(T84/R84)))/(2*Lm*Fsw)),1,2))</f>
        <v>2</v>
      </c>
      <c r="W84" s="71">
        <f t="shared" si="53"/>
        <v>0.79439252336448596</v>
      </c>
      <c r="X84" s="74">
        <f t="shared" si="54"/>
        <v>0.20560747663551404</v>
      </c>
      <c r="Y84" s="73">
        <f t="shared" si="55"/>
        <v>5.8255451713395638</v>
      </c>
      <c r="Z84" s="71">
        <f t="shared" si="77"/>
        <v>17.892772585669782</v>
      </c>
      <c r="AA84" s="71">
        <f t="shared" si="78"/>
        <v>15.074099687165726</v>
      </c>
      <c r="AB84" s="71">
        <v>0</v>
      </c>
      <c r="AC84" s="71">
        <f t="shared" si="56"/>
        <v>0.52262550717080258</v>
      </c>
      <c r="AD84" s="74">
        <f t="shared" si="67"/>
        <v>0.52262550717080258</v>
      </c>
      <c r="AE84" s="73">
        <f t="shared" si="76"/>
        <v>11.9</v>
      </c>
      <c r="AF84" s="71">
        <f t="shared" si="68"/>
        <v>13.435349147031271</v>
      </c>
      <c r="AG84" s="71">
        <f t="shared" si="57"/>
        <v>0.72203442681053565</v>
      </c>
      <c r="AH84" s="71">
        <f t="shared" si="58"/>
        <v>4.2540415452779872</v>
      </c>
      <c r="AI84" s="74">
        <f t="shared" si="69"/>
        <v>4.9760759720885233</v>
      </c>
      <c r="AJ84" s="73">
        <f t="shared" si="70"/>
        <v>3.0800000000000005</v>
      </c>
      <c r="AK84" s="71">
        <f t="shared" si="59"/>
        <v>6.8351938287056537</v>
      </c>
      <c r="AL84" s="71">
        <f t="shared" si="60"/>
        <v>0.18687949870390341</v>
      </c>
      <c r="AM84" s="71">
        <f t="shared" si="71"/>
        <v>0</v>
      </c>
      <c r="AN84" s="188">
        <f t="shared" si="61"/>
        <v>0.21471327102803739</v>
      </c>
      <c r="AO84" s="74">
        <f t="shared" si="72"/>
        <v>0.4015927697319408</v>
      </c>
      <c r="AP84" s="73">
        <f t="shared" si="62"/>
        <v>0.34084272206791472</v>
      </c>
      <c r="AQ84" s="206">
        <f t="shared" si="63"/>
        <v>0.52262550717080258</v>
      </c>
      <c r="AR84" s="206">
        <f t="shared" si="64"/>
        <v>3.0218089420955812</v>
      </c>
      <c r="AS84" s="71">
        <f t="shared" si="65"/>
        <v>0.12000000000000001</v>
      </c>
      <c r="AT84" s="74">
        <f t="shared" si="66"/>
        <v>3.6299999999999995E-5</v>
      </c>
      <c r="AU84" s="73">
        <f t="shared" si="73"/>
        <v>9.9056077203255661</v>
      </c>
      <c r="AV84" s="71">
        <f t="shared" si="74"/>
        <v>164.78</v>
      </c>
      <c r="AW84" s="74">
        <f t="shared" si="75"/>
        <v>94.329465461067286</v>
      </c>
    </row>
    <row r="85" spans="17:49" x14ac:dyDescent="0.25">
      <c r="Q85">
        <v>78</v>
      </c>
      <c r="R85" s="73">
        <f t="shared" si="49"/>
        <v>53.5</v>
      </c>
      <c r="S85" s="71">
        <f t="shared" si="50"/>
        <v>3.12</v>
      </c>
      <c r="T85" s="71">
        <f t="shared" si="51"/>
        <v>11</v>
      </c>
      <c r="U85" s="74">
        <f t="shared" si="52"/>
        <v>15.174545454545456</v>
      </c>
      <c r="V85" s="73">
        <f>IF(Variable_Management!$B$20=3,2,IF((S85*R85/T85)&lt;((T85*(1-(T85/R85)))/(2*Lm*Fsw)),1,2))</f>
        <v>2</v>
      </c>
      <c r="W85" s="71">
        <f t="shared" si="53"/>
        <v>0.79439252336448596</v>
      </c>
      <c r="X85" s="74">
        <f t="shared" si="54"/>
        <v>0.20560747663551404</v>
      </c>
      <c r="Y85" s="73">
        <f t="shared" si="55"/>
        <v>5.8255451713395638</v>
      </c>
      <c r="Z85" s="71">
        <f t="shared" si="77"/>
        <v>18.087318040215237</v>
      </c>
      <c r="AA85" s="71">
        <f t="shared" si="78"/>
        <v>15.267446123391952</v>
      </c>
      <c r="AB85" s="71">
        <v>0</v>
      </c>
      <c r="AC85" s="71">
        <f t="shared" si="56"/>
        <v>0.53611829560055468</v>
      </c>
      <c r="AD85" s="74">
        <f t="shared" si="67"/>
        <v>0.53611829560055468</v>
      </c>
      <c r="AE85" s="73">
        <f t="shared" si="76"/>
        <v>12.054545454545455</v>
      </c>
      <c r="AF85" s="71">
        <f t="shared" si="68"/>
        <v>13.607676312894801</v>
      </c>
      <c r="AG85" s="71">
        <f t="shared" si="57"/>
        <v>0.74067541854607311</v>
      </c>
      <c r="AH85" s="71">
        <f t="shared" si="58"/>
        <v>4.3092888380738046</v>
      </c>
      <c r="AI85" s="74">
        <f t="shared" si="69"/>
        <v>5.0499642566198775</v>
      </c>
      <c r="AJ85" s="73">
        <f t="shared" si="70"/>
        <v>3.1200000000000006</v>
      </c>
      <c r="AK85" s="71">
        <f t="shared" si="59"/>
        <v>6.9228647606433622</v>
      </c>
      <c r="AL85" s="71">
        <f t="shared" si="60"/>
        <v>0.19170422597663073</v>
      </c>
      <c r="AM85" s="71">
        <f t="shared" si="71"/>
        <v>0</v>
      </c>
      <c r="AN85" s="188">
        <f t="shared" si="61"/>
        <v>0.21704781648258284</v>
      </c>
      <c r="AO85" s="74">
        <f t="shared" si="72"/>
        <v>0.40875204245921359</v>
      </c>
      <c r="AP85" s="73">
        <f t="shared" si="62"/>
        <v>0.3496423666960139</v>
      </c>
      <c r="AQ85" s="206">
        <f t="shared" si="63"/>
        <v>0.53611829560055468</v>
      </c>
      <c r="AR85" s="206">
        <f t="shared" si="64"/>
        <v>3.0218089420955812</v>
      </c>
      <c r="AS85" s="71">
        <f t="shared" si="65"/>
        <v>0.12000000000000001</v>
      </c>
      <c r="AT85" s="74">
        <f t="shared" si="66"/>
        <v>3.6299999999999995E-5</v>
      </c>
      <c r="AU85" s="73">
        <f t="shared" si="73"/>
        <v>10.022440499071795</v>
      </c>
      <c r="AV85" s="71">
        <f t="shared" si="74"/>
        <v>166.92000000000002</v>
      </c>
      <c r="AW85" s="74">
        <f t="shared" si="75"/>
        <v>94.335762256469863</v>
      </c>
    </row>
    <row r="86" spans="17:49" x14ac:dyDescent="0.25">
      <c r="Q86">
        <v>79</v>
      </c>
      <c r="R86" s="73">
        <f t="shared" si="49"/>
        <v>53.5</v>
      </c>
      <c r="S86" s="71">
        <f t="shared" si="50"/>
        <v>3.16</v>
      </c>
      <c r="T86" s="71">
        <f t="shared" si="51"/>
        <v>11</v>
      </c>
      <c r="U86" s="74">
        <f t="shared" si="52"/>
        <v>15.369090909090909</v>
      </c>
      <c r="V86" s="73">
        <f>IF(Variable_Management!$B$20=3,2,IF((S86*R86/T86)&lt;((T86*(1-(T86/R86)))/(2*Lm*Fsw)),1,2))</f>
        <v>2</v>
      </c>
      <c r="W86" s="71">
        <f t="shared" si="53"/>
        <v>0.79439252336448596</v>
      </c>
      <c r="X86" s="74">
        <f t="shared" si="54"/>
        <v>0.20560747663551404</v>
      </c>
      <c r="Y86" s="73">
        <f t="shared" si="55"/>
        <v>5.8255451713395638</v>
      </c>
      <c r="Z86" s="71">
        <f t="shared" si="77"/>
        <v>18.281863494760692</v>
      </c>
      <c r="AA86" s="71">
        <f t="shared" si="78"/>
        <v>15.460822641454453</v>
      </c>
      <c r="AB86" s="71">
        <v>0</v>
      </c>
      <c r="AC86" s="71">
        <f t="shared" si="56"/>
        <v>0.54978518452617442</v>
      </c>
      <c r="AD86" s="74">
        <f t="shared" si="67"/>
        <v>0.54978518452617442</v>
      </c>
      <c r="AE86" s="73">
        <f t="shared" si="76"/>
        <v>12.209090909090909</v>
      </c>
      <c r="AF86" s="71">
        <f t="shared" si="68"/>
        <v>13.780030290308057</v>
      </c>
      <c r="AG86" s="71">
        <f t="shared" si="57"/>
        <v>0.75955693920723011</v>
      </c>
      <c r="AH86" s="71">
        <f t="shared" si="58"/>
        <v>4.364536130869622</v>
      </c>
      <c r="AI86" s="74">
        <f t="shared" si="69"/>
        <v>5.1240930700768521</v>
      </c>
      <c r="AJ86" s="73">
        <f t="shared" si="70"/>
        <v>3.16</v>
      </c>
      <c r="AK86" s="71">
        <f t="shared" si="59"/>
        <v>7.0105493328770709</v>
      </c>
      <c r="AL86" s="71">
        <f t="shared" si="60"/>
        <v>0.19659120779481259</v>
      </c>
      <c r="AM86" s="71">
        <f t="shared" si="71"/>
        <v>0</v>
      </c>
      <c r="AN86" s="188">
        <f t="shared" si="61"/>
        <v>0.21938236193712832</v>
      </c>
      <c r="AO86" s="74">
        <f t="shared" si="72"/>
        <v>0.41597356973194088</v>
      </c>
      <c r="AP86" s="73">
        <f t="shared" si="62"/>
        <v>0.35855555512576592</v>
      </c>
      <c r="AQ86" s="206">
        <f t="shared" si="63"/>
        <v>0.54978518452617442</v>
      </c>
      <c r="AR86" s="206">
        <f t="shared" si="64"/>
        <v>3.0218089420955812</v>
      </c>
      <c r="AS86" s="71">
        <f t="shared" si="65"/>
        <v>0.12000000000000001</v>
      </c>
      <c r="AT86" s="74">
        <f t="shared" si="66"/>
        <v>3.6299999999999995E-5</v>
      </c>
      <c r="AU86" s="73">
        <f t="shared" si="73"/>
        <v>10.140037806082489</v>
      </c>
      <c r="AV86" s="71">
        <f t="shared" si="74"/>
        <v>169.06</v>
      </c>
      <c r="AW86" s="74">
        <f t="shared" si="75"/>
        <v>94.341497953780944</v>
      </c>
    </row>
    <row r="87" spans="17:49" x14ac:dyDescent="0.25">
      <c r="Q87">
        <v>80</v>
      </c>
      <c r="R87" s="73">
        <f t="shared" si="49"/>
        <v>53.5</v>
      </c>
      <c r="S87" s="71">
        <f t="shared" si="50"/>
        <v>3.2</v>
      </c>
      <c r="T87" s="71">
        <f t="shared" si="51"/>
        <v>11</v>
      </c>
      <c r="U87" s="74">
        <f t="shared" si="52"/>
        <v>15.563636363636364</v>
      </c>
      <c r="V87" s="73">
        <f>IF(Variable_Management!$B$20=3,2,IF((S87*R87/T87)&lt;((T87*(1-(T87/R87)))/(2*Lm*Fsw)),1,2))</f>
        <v>2</v>
      </c>
      <c r="W87" s="71">
        <f t="shared" si="53"/>
        <v>0.79439252336448596</v>
      </c>
      <c r="X87" s="74">
        <f t="shared" si="54"/>
        <v>0.20560747663551404</v>
      </c>
      <c r="Y87" s="73">
        <f t="shared" si="55"/>
        <v>5.8255451713395638</v>
      </c>
      <c r="Z87" s="71">
        <f t="shared" si="77"/>
        <v>18.476408949306148</v>
      </c>
      <c r="AA87" s="71">
        <f t="shared" si="78"/>
        <v>15.654228126551432</v>
      </c>
      <c r="AB87" s="71">
        <v>0</v>
      </c>
      <c r="AC87" s="71">
        <f t="shared" si="56"/>
        <v>0.56362617394766212</v>
      </c>
      <c r="AD87" s="74">
        <f t="shared" si="67"/>
        <v>0.56362617394766212</v>
      </c>
      <c r="AE87" s="73">
        <f t="shared" si="76"/>
        <v>12.363636363636363</v>
      </c>
      <c r="AF87" s="71">
        <f t="shared" si="68"/>
        <v>13.952410085662684</v>
      </c>
      <c r="AG87" s="71">
        <f t="shared" si="57"/>
        <v>0.77867898879400721</v>
      </c>
      <c r="AH87" s="71">
        <f t="shared" si="58"/>
        <v>4.4197834236654403</v>
      </c>
      <c r="AI87" s="74">
        <f t="shared" si="69"/>
        <v>5.1984624124594472</v>
      </c>
      <c r="AJ87" s="73">
        <f t="shared" si="70"/>
        <v>3.2000000000000006</v>
      </c>
      <c r="AK87" s="71">
        <f t="shared" si="59"/>
        <v>7.0982470399114908</v>
      </c>
      <c r="AL87" s="71">
        <f t="shared" si="60"/>
        <v>0.20154044415844896</v>
      </c>
      <c r="AM87" s="71">
        <f t="shared" si="71"/>
        <v>0</v>
      </c>
      <c r="AN87" s="188">
        <f t="shared" si="61"/>
        <v>0.22171690739167377</v>
      </c>
      <c r="AO87" s="74">
        <f t="shared" si="72"/>
        <v>0.42325735155012273</v>
      </c>
      <c r="AP87" s="73">
        <f t="shared" si="62"/>
        <v>0.36758228735717091</v>
      </c>
      <c r="AQ87" s="206">
        <f t="shared" si="63"/>
        <v>0.56362617394766212</v>
      </c>
      <c r="AR87" s="206">
        <f t="shared" si="64"/>
        <v>3.0218089420955812</v>
      </c>
      <c r="AS87" s="71">
        <f t="shared" si="65"/>
        <v>0.12000000000000001</v>
      </c>
      <c r="AT87" s="74">
        <f t="shared" si="66"/>
        <v>3.6299999999999995E-5</v>
      </c>
      <c r="AU87" s="73">
        <f t="shared" si="73"/>
        <v>10.258399641357645</v>
      </c>
      <c r="AV87" s="71">
        <f t="shared" si="74"/>
        <v>171.20000000000002</v>
      </c>
      <c r="AW87" s="74">
        <f t="shared" si="75"/>
        <v>94.346693423047483</v>
      </c>
    </row>
    <row r="88" spans="17:49" x14ac:dyDescent="0.25">
      <c r="Q88">
        <v>81</v>
      </c>
      <c r="R88" s="73">
        <f t="shared" si="49"/>
        <v>53.5</v>
      </c>
      <c r="S88" s="71">
        <f t="shared" si="50"/>
        <v>3.24</v>
      </c>
      <c r="T88" s="71">
        <f t="shared" si="51"/>
        <v>11</v>
      </c>
      <c r="U88" s="74">
        <f t="shared" si="52"/>
        <v>15.758181818181818</v>
      </c>
      <c r="V88" s="73">
        <f>IF(Variable_Management!$B$20=3,2,IF((S88*R88/T88)&lt;((T88*(1-(T88/R88)))/(2*Lm*Fsw)),1,2))</f>
        <v>2</v>
      </c>
      <c r="W88" s="71">
        <f t="shared" si="53"/>
        <v>0.79439252336448596</v>
      </c>
      <c r="X88" s="74">
        <f t="shared" si="54"/>
        <v>0.20560747663551404</v>
      </c>
      <c r="Y88" s="73">
        <f t="shared" si="55"/>
        <v>5.8255451713395638</v>
      </c>
      <c r="Z88" s="71">
        <f t="shared" si="77"/>
        <v>18.670954403851599</v>
      </c>
      <c r="AA88" s="71">
        <f t="shared" si="78"/>
        <v>15.847661518138436</v>
      </c>
      <c r="AB88" s="71">
        <v>0</v>
      </c>
      <c r="AC88" s="71">
        <f t="shared" si="56"/>
        <v>0.57764126386501746</v>
      </c>
      <c r="AD88" s="74">
        <f t="shared" si="67"/>
        <v>0.57764126386501746</v>
      </c>
      <c r="AE88" s="73">
        <f t="shared" si="76"/>
        <v>12.518181818181818</v>
      </c>
      <c r="AF88" s="71">
        <f t="shared" si="68"/>
        <v>14.124814753709193</v>
      </c>
      <c r="AG88" s="71">
        <f t="shared" si="57"/>
        <v>0.79804156730640363</v>
      </c>
      <c r="AH88" s="71">
        <f t="shared" si="58"/>
        <v>4.4750307164612577</v>
      </c>
      <c r="AI88" s="74">
        <f t="shared" si="69"/>
        <v>5.2730722837676609</v>
      </c>
      <c r="AJ88" s="73">
        <f t="shared" si="70"/>
        <v>3.24</v>
      </c>
      <c r="AK88" s="71">
        <f t="shared" si="59"/>
        <v>7.185957400853761</v>
      </c>
      <c r="AL88" s="71">
        <f t="shared" si="60"/>
        <v>0.20655193506753977</v>
      </c>
      <c r="AM88" s="71">
        <f t="shared" si="71"/>
        <v>0</v>
      </c>
      <c r="AN88" s="188">
        <f t="shared" si="61"/>
        <v>0.22405145284621919</v>
      </c>
      <c r="AO88" s="74">
        <f t="shared" si="72"/>
        <v>0.43060338791375896</v>
      </c>
      <c r="AP88" s="73">
        <f t="shared" si="62"/>
        <v>0.37672256339022875</v>
      </c>
      <c r="AQ88" s="206">
        <f t="shared" si="63"/>
        <v>0.57764126386501746</v>
      </c>
      <c r="AR88" s="206">
        <f t="shared" si="64"/>
        <v>3.0218089420955812</v>
      </c>
      <c r="AS88" s="71">
        <f t="shared" si="65"/>
        <v>0.12000000000000001</v>
      </c>
      <c r="AT88" s="74">
        <f t="shared" si="66"/>
        <v>3.6299999999999995E-5</v>
      </c>
      <c r="AU88" s="73">
        <f t="shared" si="73"/>
        <v>10.377526004897264</v>
      </c>
      <c r="AV88" s="71">
        <f t="shared" si="74"/>
        <v>173.34</v>
      </c>
      <c r="AW88" s="74">
        <f t="shared" si="75"/>
        <v>94.351368521792182</v>
      </c>
    </row>
    <row r="89" spans="17:49" x14ac:dyDescent="0.25">
      <c r="Q89">
        <v>82</v>
      </c>
      <c r="R89" s="73">
        <f t="shared" si="49"/>
        <v>53.5</v>
      </c>
      <c r="S89" s="71">
        <f t="shared" si="50"/>
        <v>3.2800000000000002</v>
      </c>
      <c r="T89" s="71">
        <f t="shared" si="51"/>
        <v>11</v>
      </c>
      <c r="U89" s="74">
        <f t="shared" si="52"/>
        <v>15.952727272727275</v>
      </c>
      <c r="V89" s="73">
        <f>IF(Variable_Management!$B$20=3,2,IF((S89*R89/T89)&lt;((T89*(1-(T89/R89)))/(2*Lm*Fsw)),1,2))</f>
        <v>2</v>
      </c>
      <c r="W89" s="71">
        <f t="shared" si="53"/>
        <v>0.79439252336448596</v>
      </c>
      <c r="X89" s="74">
        <f t="shared" si="54"/>
        <v>0.20560747663551404</v>
      </c>
      <c r="Y89" s="73">
        <f t="shared" si="55"/>
        <v>5.8255451713395638</v>
      </c>
      <c r="Z89" s="71">
        <f t="shared" si="77"/>
        <v>18.865499858397058</v>
      </c>
      <c r="AA89" s="71">
        <f t="shared" si="78"/>
        <v>16.041121806676315</v>
      </c>
      <c r="AB89" s="71">
        <v>0</v>
      </c>
      <c r="AC89" s="71">
        <f t="shared" si="56"/>
        <v>0.59183045427824077</v>
      </c>
      <c r="AD89" s="74">
        <f t="shared" si="67"/>
        <v>0.59183045427824077</v>
      </c>
      <c r="AE89" s="73">
        <f t="shared" si="76"/>
        <v>12.672727272727274</v>
      </c>
      <c r="AF89" s="71">
        <f t="shared" si="68"/>
        <v>14.297243394658464</v>
      </c>
      <c r="AG89" s="71">
        <f t="shared" si="57"/>
        <v>0.81764467474442026</v>
      </c>
      <c r="AH89" s="71">
        <f t="shared" si="58"/>
        <v>4.5302780092570769</v>
      </c>
      <c r="AI89" s="74">
        <f t="shared" si="69"/>
        <v>5.3479226840014968</v>
      </c>
      <c r="AJ89" s="73">
        <f t="shared" si="70"/>
        <v>3.2800000000000007</v>
      </c>
      <c r="AK89" s="71">
        <f t="shared" si="59"/>
        <v>7.2736799579388514</v>
      </c>
      <c r="AL89" s="71">
        <f t="shared" si="60"/>
        <v>0.21162568052208533</v>
      </c>
      <c r="AM89" s="71">
        <f t="shared" si="71"/>
        <v>0</v>
      </c>
      <c r="AN89" s="188">
        <f t="shared" si="61"/>
        <v>0.2263859983007647</v>
      </c>
      <c r="AO89" s="74">
        <f t="shared" si="72"/>
        <v>0.43801167882285003</v>
      </c>
      <c r="AP89" s="73">
        <f t="shared" si="62"/>
        <v>0.38597638322493966</v>
      </c>
      <c r="AQ89" s="206">
        <f t="shared" si="63"/>
        <v>0.59183045427824077</v>
      </c>
      <c r="AR89" s="206">
        <f t="shared" si="64"/>
        <v>3.0218089420955812</v>
      </c>
      <c r="AS89" s="71">
        <f t="shared" si="65"/>
        <v>0.12000000000000001</v>
      </c>
      <c r="AT89" s="74">
        <f t="shared" si="66"/>
        <v>3.6299999999999995E-5</v>
      </c>
      <c r="AU89" s="73">
        <f t="shared" si="73"/>
        <v>10.497416896701349</v>
      </c>
      <c r="AV89" s="71">
        <f t="shared" si="74"/>
        <v>175.48000000000002</v>
      </c>
      <c r="AW89" s="74">
        <f t="shared" si="75"/>
        <v>94.35554215567366</v>
      </c>
    </row>
    <row r="90" spans="17:49" x14ac:dyDescent="0.25">
      <c r="Q90">
        <v>83</v>
      </c>
      <c r="R90" s="73">
        <f t="shared" si="49"/>
        <v>53.5</v>
      </c>
      <c r="S90" s="71">
        <f t="shared" si="50"/>
        <v>3.3200000000000003</v>
      </c>
      <c r="T90" s="71">
        <f t="shared" si="51"/>
        <v>11</v>
      </c>
      <c r="U90" s="74">
        <f t="shared" si="52"/>
        <v>16.147272727272728</v>
      </c>
      <c r="V90" s="73">
        <f>IF(Variable_Management!$B$20=3,2,IF((S90*R90/T90)&lt;((T90*(1-(T90/R90)))/(2*Lm*Fsw)),1,2))</f>
        <v>2</v>
      </c>
      <c r="W90" s="71">
        <f t="shared" si="53"/>
        <v>0.79439252336448596</v>
      </c>
      <c r="X90" s="74">
        <f t="shared" si="54"/>
        <v>0.20560747663551404</v>
      </c>
      <c r="Y90" s="73">
        <f t="shared" si="55"/>
        <v>5.8255451713395638</v>
      </c>
      <c r="Z90" s="71">
        <f t="shared" si="77"/>
        <v>19.06004531294251</v>
      </c>
      <c r="AA90" s="71">
        <f t="shared" si="78"/>
        <v>16.234608030609653</v>
      </c>
      <c r="AB90" s="71">
        <v>0</v>
      </c>
      <c r="AC90" s="71">
        <f t="shared" si="56"/>
        <v>0.60619374518733149</v>
      </c>
      <c r="AD90" s="74">
        <f t="shared" si="67"/>
        <v>0.60619374518733149</v>
      </c>
      <c r="AE90" s="73">
        <f t="shared" si="76"/>
        <v>12.827272727272728</v>
      </c>
      <c r="AF90" s="71">
        <f t="shared" si="68"/>
        <v>14.469695151488649</v>
      </c>
      <c r="AG90" s="71">
        <f t="shared" si="57"/>
        <v>0.83748831110805644</v>
      </c>
      <c r="AH90" s="71">
        <f t="shared" si="58"/>
        <v>4.5855253020528943</v>
      </c>
      <c r="AI90" s="74">
        <f t="shared" si="69"/>
        <v>5.4230136131609505</v>
      </c>
      <c r="AJ90" s="73">
        <f t="shared" si="70"/>
        <v>3.3200000000000007</v>
      </c>
      <c r="AK90" s="71">
        <f t="shared" si="59"/>
        <v>7.3614142751594489</v>
      </c>
      <c r="AL90" s="71">
        <f t="shared" si="60"/>
        <v>0.21676168052208528</v>
      </c>
      <c r="AM90" s="71">
        <f t="shared" si="71"/>
        <v>0</v>
      </c>
      <c r="AN90" s="188">
        <f t="shared" si="61"/>
        <v>0.22872054375531012</v>
      </c>
      <c r="AO90" s="74">
        <f t="shared" si="72"/>
        <v>0.44548222427739537</v>
      </c>
      <c r="AP90" s="73">
        <f t="shared" si="62"/>
        <v>0.39534374686130314</v>
      </c>
      <c r="AQ90" s="206">
        <f t="shared" si="63"/>
        <v>0.60619374518733149</v>
      </c>
      <c r="AR90" s="206">
        <f t="shared" si="64"/>
        <v>3.0218089420955812</v>
      </c>
      <c r="AS90" s="71">
        <f t="shared" si="65"/>
        <v>0.12000000000000001</v>
      </c>
      <c r="AT90" s="74">
        <f t="shared" si="66"/>
        <v>3.6299999999999995E-5</v>
      </c>
      <c r="AU90" s="73">
        <f t="shared" si="73"/>
        <v>10.618072316769894</v>
      </c>
      <c r="AV90" s="71">
        <f t="shared" si="74"/>
        <v>177.62</v>
      </c>
      <c r="AW90" s="74">
        <f t="shared" si="75"/>
        <v>94.35923233483733</v>
      </c>
    </row>
    <row r="91" spans="17:49" x14ac:dyDescent="0.25">
      <c r="Q91">
        <v>84</v>
      </c>
      <c r="R91" s="73">
        <f t="shared" si="49"/>
        <v>53.5</v>
      </c>
      <c r="S91" s="71">
        <f t="shared" si="50"/>
        <v>3.36</v>
      </c>
      <c r="T91" s="71">
        <f t="shared" si="51"/>
        <v>11</v>
      </c>
      <c r="U91" s="74">
        <f t="shared" si="52"/>
        <v>16.34181818181818</v>
      </c>
      <c r="V91" s="73">
        <f>IF(Variable_Management!$B$20=3,2,IF((S91*R91/T91)&lt;((T91*(1-(T91/R91)))/(2*Lm*Fsw)),1,2))</f>
        <v>2</v>
      </c>
      <c r="W91" s="71">
        <f t="shared" si="53"/>
        <v>0.79439252336448596</v>
      </c>
      <c r="X91" s="74">
        <f t="shared" si="54"/>
        <v>0.20560747663551404</v>
      </c>
      <c r="Y91" s="73">
        <f t="shared" si="55"/>
        <v>5.8255451713395638</v>
      </c>
      <c r="Z91" s="71">
        <f t="shared" si="77"/>
        <v>19.254590767487962</v>
      </c>
      <c r="AA91" s="71">
        <f t="shared" si="78"/>
        <v>16.428119273556941</v>
      </c>
      <c r="AB91" s="71">
        <v>0</v>
      </c>
      <c r="AC91" s="71">
        <f t="shared" si="56"/>
        <v>0.62073113659228996</v>
      </c>
      <c r="AD91" s="74">
        <f t="shared" si="67"/>
        <v>0.62073113659228996</v>
      </c>
      <c r="AE91" s="73">
        <f t="shared" si="76"/>
        <v>12.981818181818181</v>
      </c>
      <c r="AF91" s="71">
        <f t="shared" si="68"/>
        <v>14.642169207440817</v>
      </c>
      <c r="AG91" s="71">
        <f t="shared" si="57"/>
        <v>0.85757247639731227</v>
      </c>
      <c r="AH91" s="71">
        <f t="shared" si="58"/>
        <v>4.6407725948487117</v>
      </c>
      <c r="AI91" s="74">
        <f t="shared" si="69"/>
        <v>5.4983450712460238</v>
      </c>
      <c r="AJ91" s="73">
        <f t="shared" si="70"/>
        <v>3.36</v>
      </c>
      <c r="AK91" s="71">
        <f t="shared" si="59"/>
        <v>7.4491599369918831</v>
      </c>
      <c r="AL91" s="71">
        <f t="shared" si="60"/>
        <v>0.22195993506753964</v>
      </c>
      <c r="AM91" s="71">
        <f t="shared" si="71"/>
        <v>0</v>
      </c>
      <c r="AN91" s="188">
        <f t="shared" si="61"/>
        <v>0.23105508920985554</v>
      </c>
      <c r="AO91" s="74">
        <f t="shared" si="72"/>
        <v>0.45301502427739515</v>
      </c>
      <c r="AP91" s="73">
        <f t="shared" si="62"/>
        <v>0.40482465429931958</v>
      </c>
      <c r="AQ91" s="206">
        <f t="shared" si="63"/>
        <v>0.62073113659228996</v>
      </c>
      <c r="AR91" s="206">
        <f t="shared" si="64"/>
        <v>3.0218089420955812</v>
      </c>
      <c r="AS91" s="71">
        <f t="shared" si="65"/>
        <v>0.12000000000000001</v>
      </c>
      <c r="AT91" s="74">
        <f t="shared" si="66"/>
        <v>3.6299999999999995E-5</v>
      </c>
      <c r="AU91" s="73">
        <f t="shared" si="73"/>
        <v>10.7394922651029</v>
      </c>
      <c r="AV91" s="71">
        <f t="shared" si="74"/>
        <v>179.76</v>
      </c>
      <c r="AW91" s="74">
        <f t="shared" si="75"/>
        <v>94.362456226309718</v>
      </c>
    </row>
    <row r="92" spans="17:49" x14ac:dyDescent="0.25">
      <c r="Q92">
        <v>85</v>
      </c>
      <c r="R92" s="73">
        <f t="shared" si="49"/>
        <v>53.5</v>
      </c>
      <c r="S92" s="71">
        <f t="shared" si="50"/>
        <v>3.4</v>
      </c>
      <c r="T92" s="71">
        <f t="shared" si="51"/>
        <v>11</v>
      </c>
      <c r="U92" s="74">
        <f t="shared" si="52"/>
        <v>16.536363636363635</v>
      </c>
      <c r="V92" s="73">
        <f>IF(Variable_Management!$B$20=3,2,IF((S92*R92/T92)&lt;((T92*(1-(T92/R92)))/(2*Lm*Fsw)),1,2))</f>
        <v>2</v>
      </c>
      <c r="W92" s="71">
        <f t="shared" si="53"/>
        <v>0.79439252336448596</v>
      </c>
      <c r="X92" s="74">
        <f t="shared" si="54"/>
        <v>0.20560747663551404</v>
      </c>
      <c r="Y92" s="73">
        <f t="shared" si="55"/>
        <v>5.8255451713395638</v>
      </c>
      <c r="Z92" s="71">
        <f t="shared" si="77"/>
        <v>19.449136222033417</v>
      </c>
      <c r="AA92" s="71">
        <f t="shared" si="78"/>
        <v>16.621654661695366</v>
      </c>
      <c r="AB92" s="71">
        <v>0</v>
      </c>
      <c r="AC92" s="71">
        <f t="shared" si="56"/>
        <v>0.63544262849311639</v>
      </c>
      <c r="AD92" s="74">
        <f t="shared" si="67"/>
        <v>0.63544262849311639</v>
      </c>
      <c r="AE92" s="73">
        <f t="shared" si="76"/>
        <v>13.136363636363635</v>
      </c>
      <c r="AF92" s="71">
        <f t="shared" si="68"/>
        <v>14.814664783688059</v>
      </c>
      <c r="AG92" s="71">
        <f t="shared" si="57"/>
        <v>0.87789717061218875</v>
      </c>
      <c r="AH92" s="71">
        <f t="shared" si="58"/>
        <v>4.69601988764453</v>
      </c>
      <c r="AI92" s="74">
        <f t="shared" si="69"/>
        <v>5.5739170582567183</v>
      </c>
      <c r="AJ92" s="73">
        <f t="shared" si="70"/>
        <v>3.4000000000000004</v>
      </c>
      <c r="AK92" s="71">
        <f t="shared" si="59"/>
        <v>7.5369165472102848</v>
      </c>
      <c r="AL92" s="71">
        <f t="shared" si="60"/>
        <v>0.2272204441584488</v>
      </c>
      <c r="AM92" s="71">
        <f t="shared" si="71"/>
        <v>0</v>
      </c>
      <c r="AN92" s="188">
        <f t="shared" si="61"/>
        <v>0.23338963466440102</v>
      </c>
      <c r="AO92" s="74">
        <f t="shared" si="72"/>
        <v>0.46061007882284982</v>
      </c>
      <c r="AP92" s="73">
        <f t="shared" si="62"/>
        <v>0.41441910553898892</v>
      </c>
      <c r="AQ92" s="206">
        <f t="shared" si="63"/>
        <v>0.63544262849311639</v>
      </c>
      <c r="AR92" s="206">
        <f t="shared" si="64"/>
        <v>3.0218089420955812</v>
      </c>
      <c r="AS92" s="71">
        <f t="shared" si="65"/>
        <v>0.12000000000000001</v>
      </c>
      <c r="AT92" s="74">
        <f t="shared" si="66"/>
        <v>3.6299999999999995E-5</v>
      </c>
      <c r="AU92" s="73">
        <f t="shared" si="73"/>
        <v>10.861676741700371</v>
      </c>
      <c r="AV92" s="71">
        <f t="shared" si="74"/>
        <v>181.9</v>
      </c>
      <c r="AW92" s="74">
        <f t="shared" si="75"/>
        <v>94.365230202757076</v>
      </c>
    </row>
    <row r="93" spans="17:49" x14ac:dyDescent="0.25">
      <c r="Q93">
        <v>86</v>
      </c>
      <c r="R93" s="73">
        <f t="shared" si="49"/>
        <v>53.5</v>
      </c>
      <c r="S93" s="71">
        <f t="shared" si="50"/>
        <v>3.44</v>
      </c>
      <c r="T93" s="71">
        <f t="shared" si="51"/>
        <v>11</v>
      </c>
      <c r="U93" s="74">
        <f t="shared" si="52"/>
        <v>16.730909090909091</v>
      </c>
      <c r="V93" s="73">
        <f>IF(Variable_Management!$B$20=3,2,IF((S93*R93/T93)&lt;((T93*(1-(T93/R93)))/(2*Lm*Fsw)),1,2))</f>
        <v>2</v>
      </c>
      <c r="W93" s="71">
        <f t="shared" si="53"/>
        <v>0.79439252336448596</v>
      </c>
      <c r="X93" s="74">
        <f t="shared" si="54"/>
        <v>0.20560747663551404</v>
      </c>
      <c r="Y93" s="73">
        <f t="shared" si="55"/>
        <v>5.8255451713395638</v>
      </c>
      <c r="Z93" s="71">
        <f t="shared" si="77"/>
        <v>19.643681676578872</v>
      </c>
      <c r="AA93" s="71">
        <f t="shared" si="78"/>
        <v>16.815213361324744</v>
      </c>
      <c r="AB93" s="71">
        <v>0</v>
      </c>
      <c r="AC93" s="71">
        <f t="shared" si="56"/>
        <v>0.65032822088981068</v>
      </c>
      <c r="AD93" s="74">
        <f t="shared" si="67"/>
        <v>0.65032822088981068</v>
      </c>
      <c r="AE93" s="73">
        <f t="shared" si="76"/>
        <v>13.290909090909091</v>
      </c>
      <c r="AF93" s="71">
        <f t="shared" si="68"/>
        <v>14.987181137164225</v>
      </c>
      <c r="AG93" s="71">
        <f t="shared" si="57"/>
        <v>0.89846239375268455</v>
      </c>
      <c r="AH93" s="71">
        <f t="shared" si="58"/>
        <v>4.7512671804403483</v>
      </c>
      <c r="AI93" s="74">
        <f t="shared" si="69"/>
        <v>5.6497295741930333</v>
      </c>
      <c r="AJ93" s="73">
        <f t="shared" si="70"/>
        <v>3.4400000000000004</v>
      </c>
      <c r="AK93" s="71">
        <f t="shared" si="59"/>
        <v>7.6246837277819681</v>
      </c>
      <c r="AL93" s="71">
        <f t="shared" si="60"/>
        <v>0.23254320779481252</v>
      </c>
      <c r="AM93" s="71">
        <f t="shared" si="71"/>
        <v>0</v>
      </c>
      <c r="AN93" s="188">
        <f t="shared" si="61"/>
        <v>0.23572418011894647</v>
      </c>
      <c r="AO93" s="74">
        <f t="shared" si="72"/>
        <v>0.46826738791375899</v>
      </c>
      <c r="AP93" s="73">
        <f t="shared" si="62"/>
        <v>0.42412710058031128</v>
      </c>
      <c r="AQ93" s="206">
        <f t="shared" si="63"/>
        <v>0.65032822088981068</v>
      </c>
      <c r="AR93" s="206">
        <f t="shared" si="64"/>
        <v>3.0218089420955812</v>
      </c>
      <c r="AS93" s="71">
        <f t="shared" si="65"/>
        <v>0.12000000000000001</v>
      </c>
      <c r="AT93" s="74">
        <f t="shared" si="66"/>
        <v>3.6299999999999995E-5</v>
      </c>
      <c r="AU93" s="73">
        <f t="shared" si="73"/>
        <v>10.984625746562305</v>
      </c>
      <c r="AV93" s="71">
        <f t="shared" si="74"/>
        <v>184.04</v>
      </c>
      <c r="AW93" s="74">
        <f t="shared" si="75"/>
        <v>94.367569887898668</v>
      </c>
    </row>
    <row r="94" spans="17:49" x14ac:dyDescent="0.25">
      <c r="Q94">
        <v>87</v>
      </c>
      <c r="R94" s="73">
        <f t="shared" si="49"/>
        <v>53.5</v>
      </c>
      <c r="S94" s="71">
        <f t="shared" si="50"/>
        <v>3.48</v>
      </c>
      <c r="T94" s="71">
        <f t="shared" si="51"/>
        <v>11</v>
      </c>
      <c r="U94" s="74">
        <f t="shared" si="52"/>
        <v>16.925454545454546</v>
      </c>
      <c r="V94" s="73">
        <f>IF(Variable_Management!$B$20=3,2,IF((S94*R94/T94)&lt;((T94*(1-(T94/R94)))/(2*Lm*Fsw)),1,2))</f>
        <v>2</v>
      </c>
      <c r="W94" s="71">
        <f t="shared" si="53"/>
        <v>0.79439252336448596</v>
      </c>
      <c r="X94" s="74">
        <f t="shared" si="54"/>
        <v>0.20560747663551404</v>
      </c>
      <c r="Y94" s="73">
        <f t="shared" si="55"/>
        <v>5.8255451713395638</v>
      </c>
      <c r="Z94" s="71">
        <f t="shared" si="77"/>
        <v>19.838227131124327</v>
      </c>
      <c r="AA94" s="71">
        <f t="shared" si="78"/>
        <v>17.008794576596475</v>
      </c>
      <c r="AB94" s="71">
        <v>0</v>
      </c>
      <c r="AC94" s="71">
        <f t="shared" si="56"/>
        <v>0.66538791378237261</v>
      </c>
      <c r="AD94" s="74">
        <f t="shared" si="67"/>
        <v>0.66538791378237261</v>
      </c>
      <c r="AE94" s="73">
        <f t="shared" si="76"/>
        <v>13.445454545454545</v>
      </c>
      <c r="AF94" s="71">
        <f t="shared" si="68"/>
        <v>15.159717558539805</v>
      </c>
      <c r="AG94" s="71">
        <f t="shared" si="57"/>
        <v>0.91926814581880023</v>
      </c>
      <c r="AH94" s="71">
        <f t="shared" si="58"/>
        <v>4.8065144732361658</v>
      </c>
      <c r="AI94" s="74">
        <f t="shared" si="69"/>
        <v>5.7257826190549661</v>
      </c>
      <c r="AJ94" s="73">
        <f t="shared" si="70"/>
        <v>3.4800000000000004</v>
      </c>
      <c r="AK94" s="71">
        <f t="shared" si="59"/>
        <v>7.7124611178376563</v>
      </c>
      <c r="AL94" s="71">
        <f t="shared" si="60"/>
        <v>0.23792822597663069</v>
      </c>
      <c r="AM94" s="71">
        <f t="shared" si="71"/>
        <v>0</v>
      </c>
      <c r="AN94" s="188">
        <f t="shared" si="61"/>
        <v>0.23805872557349192</v>
      </c>
      <c r="AO94" s="74">
        <f t="shared" si="72"/>
        <v>0.47598695155012261</v>
      </c>
      <c r="AP94" s="73">
        <f t="shared" si="62"/>
        <v>0.43394863942328649</v>
      </c>
      <c r="AQ94" s="206">
        <f t="shared" si="63"/>
        <v>0.66538791378237261</v>
      </c>
      <c r="AR94" s="206">
        <f t="shared" si="64"/>
        <v>3.0218089420955812</v>
      </c>
      <c r="AS94" s="71">
        <f t="shared" si="65"/>
        <v>0.12000000000000001</v>
      </c>
      <c r="AT94" s="74">
        <f t="shared" si="66"/>
        <v>3.6299999999999995E-5</v>
      </c>
      <c r="AU94" s="73">
        <f t="shared" si="73"/>
        <v>11.1083392796887</v>
      </c>
      <c r="AV94" s="71">
        <f t="shared" si="74"/>
        <v>186.18</v>
      </c>
      <c r="AW94" s="74">
        <f t="shared" si="75"/>
        <v>94.369490198839983</v>
      </c>
    </row>
    <row r="95" spans="17:49" x14ac:dyDescent="0.25">
      <c r="Q95">
        <v>88</v>
      </c>
      <c r="R95" s="73">
        <f t="shared" si="49"/>
        <v>53.5</v>
      </c>
      <c r="S95" s="71">
        <f t="shared" si="50"/>
        <v>3.52</v>
      </c>
      <c r="T95" s="71">
        <f t="shared" si="51"/>
        <v>11</v>
      </c>
      <c r="U95" s="74">
        <f t="shared" si="52"/>
        <v>17.12</v>
      </c>
      <c r="V95" s="73">
        <f>IF(Variable_Management!$B$20=3,2,IF((S95*R95/T95)&lt;((T95*(1-(T95/R95)))/(2*Lm*Fsw)),1,2))</f>
        <v>2</v>
      </c>
      <c r="W95" s="71">
        <f t="shared" si="53"/>
        <v>0.79439252336448596</v>
      </c>
      <c r="X95" s="74">
        <f t="shared" si="54"/>
        <v>0.20560747663551404</v>
      </c>
      <c r="Y95" s="73">
        <f t="shared" si="55"/>
        <v>5.8255451713395638</v>
      </c>
      <c r="Z95" s="71">
        <f t="shared" si="77"/>
        <v>20.032772585669782</v>
      </c>
      <c r="AA95" s="71">
        <f t="shared" si="78"/>
        <v>17.202397547394661</v>
      </c>
      <c r="AB95" s="71">
        <v>0</v>
      </c>
      <c r="AC95" s="71">
        <f t="shared" si="56"/>
        <v>0.68062170717080261</v>
      </c>
      <c r="AD95" s="74">
        <f t="shared" si="67"/>
        <v>0.68062170717080261</v>
      </c>
      <c r="AE95" s="73">
        <f t="shared" si="76"/>
        <v>13.6</v>
      </c>
      <c r="AF95" s="71">
        <f t="shared" si="68"/>
        <v>15.332273370333377</v>
      </c>
      <c r="AG95" s="71">
        <f t="shared" si="57"/>
        <v>0.94031442681053601</v>
      </c>
      <c r="AH95" s="71">
        <f t="shared" si="58"/>
        <v>4.861761766031985</v>
      </c>
      <c r="AI95" s="74">
        <f t="shared" si="69"/>
        <v>5.8020761928425211</v>
      </c>
      <c r="AJ95" s="73">
        <f t="shared" si="70"/>
        <v>3.5200000000000005</v>
      </c>
      <c r="AK95" s="71">
        <f t="shared" si="59"/>
        <v>7.8002483727106968</v>
      </c>
      <c r="AL95" s="71">
        <f t="shared" si="60"/>
        <v>0.24337549870390351</v>
      </c>
      <c r="AM95" s="71">
        <f t="shared" si="71"/>
        <v>0</v>
      </c>
      <c r="AN95" s="188">
        <f t="shared" si="61"/>
        <v>0.2403932710280374</v>
      </c>
      <c r="AO95" s="74">
        <f t="shared" si="72"/>
        <v>0.48376876973194094</v>
      </c>
      <c r="AP95" s="73">
        <f t="shared" si="62"/>
        <v>0.44388372206791482</v>
      </c>
      <c r="AQ95" s="206">
        <f t="shared" si="63"/>
        <v>0.68062170717080261</v>
      </c>
      <c r="AR95" s="206">
        <f t="shared" si="64"/>
        <v>3.0218089420955812</v>
      </c>
      <c r="AS95" s="71">
        <f t="shared" si="65"/>
        <v>0.12000000000000001</v>
      </c>
      <c r="AT95" s="74">
        <f t="shared" si="66"/>
        <v>3.6299999999999995E-5</v>
      </c>
      <c r="AU95" s="73">
        <f t="shared" si="73"/>
        <v>11.232817341079564</v>
      </c>
      <c r="AV95" s="71">
        <f t="shared" si="74"/>
        <v>188.32</v>
      </c>
      <c r="AW95" s="74">
        <f t="shared" si="75"/>
        <v>94.371005385566562</v>
      </c>
    </row>
    <row r="96" spans="17:49" x14ac:dyDescent="0.25">
      <c r="Q96">
        <v>89</v>
      </c>
      <c r="R96" s="73">
        <f t="shared" si="49"/>
        <v>53.5</v>
      </c>
      <c r="S96" s="71">
        <f t="shared" si="50"/>
        <v>3.56</v>
      </c>
      <c r="T96" s="71">
        <f t="shared" si="51"/>
        <v>11</v>
      </c>
      <c r="U96" s="74">
        <f t="shared" si="52"/>
        <v>17.314545454545456</v>
      </c>
      <c r="V96" s="73">
        <f>IF(Variable_Management!$B$20=3,2,IF((S96*R96/T96)&lt;((T96*(1-(T96/R96)))/(2*Lm*Fsw)),1,2))</f>
        <v>2</v>
      </c>
      <c r="W96" s="71">
        <f t="shared" si="53"/>
        <v>0.79439252336448596</v>
      </c>
      <c r="X96" s="74">
        <f t="shared" si="54"/>
        <v>0.20560747663551404</v>
      </c>
      <c r="Y96" s="73">
        <f t="shared" si="55"/>
        <v>5.8255451713395638</v>
      </c>
      <c r="Z96" s="71">
        <f t="shared" si="77"/>
        <v>20.227318040215238</v>
      </c>
      <c r="AA96" s="71">
        <f t="shared" si="78"/>
        <v>17.396021547357616</v>
      </c>
      <c r="AB96" s="71">
        <v>0</v>
      </c>
      <c r="AC96" s="71">
        <f t="shared" si="56"/>
        <v>0.69602960105510014</v>
      </c>
      <c r="AD96" s="74">
        <f t="shared" si="67"/>
        <v>0.69602960105510014</v>
      </c>
      <c r="AE96" s="73">
        <f t="shared" si="76"/>
        <v>13.754545454545456</v>
      </c>
      <c r="AF96" s="71">
        <f t="shared" si="68"/>
        <v>15.504847925148214</v>
      </c>
      <c r="AG96" s="71">
        <f t="shared" si="57"/>
        <v>0.96160123672789155</v>
      </c>
      <c r="AH96" s="71">
        <f t="shared" si="58"/>
        <v>4.9170090588278024</v>
      </c>
      <c r="AI96" s="74">
        <f t="shared" si="69"/>
        <v>5.8786102955556938</v>
      </c>
      <c r="AJ96" s="73">
        <f t="shared" si="70"/>
        <v>3.5600000000000009</v>
      </c>
      <c r="AK96" s="71">
        <f t="shared" si="59"/>
        <v>7.8880451630399335</v>
      </c>
      <c r="AL96" s="71">
        <f t="shared" si="60"/>
        <v>0.24888502597663079</v>
      </c>
      <c r="AM96" s="71">
        <f t="shared" si="71"/>
        <v>0</v>
      </c>
      <c r="AN96" s="188">
        <f t="shared" si="61"/>
        <v>0.24272781648258285</v>
      </c>
      <c r="AO96" s="74">
        <f t="shared" si="72"/>
        <v>0.49161284245921366</v>
      </c>
      <c r="AP96" s="73">
        <f t="shared" si="62"/>
        <v>0.45393234851419578</v>
      </c>
      <c r="AQ96" s="206">
        <f t="shared" si="63"/>
        <v>0.69602960105510014</v>
      </c>
      <c r="AR96" s="206">
        <f t="shared" si="64"/>
        <v>3.0218089420955812</v>
      </c>
      <c r="AS96" s="71">
        <f t="shared" si="65"/>
        <v>0.12000000000000001</v>
      </c>
      <c r="AT96" s="74">
        <f t="shared" si="66"/>
        <v>3.6299999999999995E-5</v>
      </c>
      <c r="AU96" s="73">
        <f t="shared" si="73"/>
        <v>11.358059930734886</v>
      </c>
      <c r="AV96" s="71">
        <f t="shared" si="74"/>
        <v>190.46</v>
      </c>
      <c r="AW96" s="74">
        <f t="shared" si="75"/>
        <v>94.372129067818292</v>
      </c>
    </row>
    <row r="97" spans="17:49" x14ac:dyDescent="0.25">
      <c r="Q97">
        <v>90</v>
      </c>
      <c r="R97" s="73">
        <f t="shared" si="49"/>
        <v>53.5</v>
      </c>
      <c r="S97" s="71">
        <f t="shared" si="50"/>
        <v>3.6</v>
      </c>
      <c r="T97" s="71">
        <f t="shared" si="51"/>
        <v>11</v>
      </c>
      <c r="U97" s="74">
        <f t="shared" si="52"/>
        <v>17.509090909090908</v>
      </c>
      <c r="V97" s="73">
        <f>IF(Variable_Management!$B$20=3,2,IF((S97*R97/T97)&lt;((T97*(1-(T97/R97)))/(2*Lm*Fsw)),1,2))</f>
        <v>2</v>
      </c>
      <c r="W97" s="71">
        <f t="shared" si="53"/>
        <v>0.79439252336448596</v>
      </c>
      <c r="X97" s="74">
        <f t="shared" si="54"/>
        <v>0.20560747663551404</v>
      </c>
      <c r="Y97" s="73">
        <f t="shared" si="55"/>
        <v>5.8255451713395638</v>
      </c>
      <c r="Z97" s="71">
        <f t="shared" si="77"/>
        <v>20.421863494760689</v>
      </c>
      <c r="AA97" s="71">
        <f t="shared" si="78"/>
        <v>17.589665882029131</v>
      </c>
      <c r="AB97" s="71">
        <v>0</v>
      </c>
      <c r="AC97" s="71">
        <f t="shared" si="56"/>
        <v>0.7116115954352652</v>
      </c>
      <c r="AD97" s="74">
        <f t="shared" si="67"/>
        <v>0.7116115954352652</v>
      </c>
      <c r="AE97" s="73">
        <f t="shared" si="76"/>
        <v>13.909090909090908</v>
      </c>
      <c r="AF97" s="71">
        <f t="shared" si="68"/>
        <v>15.677440604024516</v>
      </c>
      <c r="AG97" s="71">
        <f t="shared" si="57"/>
        <v>0.98312857557086641</v>
      </c>
      <c r="AH97" s="71">
        <f t="shared" si="58"/>
        <v>4.9722563516236198</v>
      </c>
      <c r="AI97" s="74">
        <f t="shared" si="69"/>
        <v>5.9553849271944861</v>
      </c>
      <c r="AJ97" s="73">
        <f t="shared" si="70"/>
        <v>3.6</v>
      </c>
      <c r="AK97" s="71">
        <f t="shared" si="59"/>
        <v>7.9758511739314146</v>
      </c>
      <c r="AL97" s="71">
        <f t="shared" si="60"/>
        <v>0.2544568077948125</v>
      </c>
      <c r="AM97" s="71">
        <f t="shared" si="71"/>
        <v>0</v>
      </c>
      <c r="AN97" s="188">
        <f t="shared" si="61"/>
        <v>0.24506236193712827</v>
      </c>
      <c r="AO97" s="74">
        <f t="shared" si="72"/>
        <v>0.49951916973194077</v>
      </c>
      <c r="AP97" s="73">
        <f t="shared" si="62"/>
        <v>0.46409451876212948</v>
      </c>
      <c r="AQ97" s="206">
        <f t="shared" si="63"/>
        <v>0.7116115954352652</v>
      </c>
      <c r="AR97" s="206">
        <f t="shared" si="64"/>
        <v>3.0218089420955812</v>
      </c>
      <c r="AS97" s="71">
        <f t="shared" si="65"/>
        <v>0.12000000000000001</v>
      </c>
      <c r="AT97" s="74">
        <f t="shared" si="66"/>
        <v>3.6299999999999995E-5</v>
      </c>
      <c r="AU97" s="73">
        <f t="shared" si="73"/>
        <v>11.484067048654669</v>
      </c>
      <c r="AV97" s="71">
        <f t="shared" si="74"/>
        <v>192.6</v>
      </c>
      <c r="AW97" s="74">
        <f t="shared" si="75"/>
        <v>94.37287426954461</v>
      </c>
    </row>
    <row r="98" spans="17:49" x14ac:dyDescent="0.25">
      <c r="Q98">
        <v>91</v>
      </c>
      <c r="R98" s="73">
        <f t="shared" si="49"/>
        <v>53.5</v>
      </c>
      <c r="S98" s="71">
        <f t="shared" si="50"/>
        <v>3.64</v>
      </c>
      <c r="T98" s="71">
        <f t="shared" si="51"/>
        <v>11</v>
      </c>
      <c r="U98" s="74">
        <f t="shared" si="52"/>
        <v>17.703636363636363</v>
      </c>
      <c r="V98" s="73">
        <f>IF(Variable_Management!$B$20=3,2,IF((S98*R98/T98)&lt;((T98*(1-(T98/R98)))/(2*Lm*Fsw)),1,2))</f>
        <v>2</v>
      </c>
      <c r="W98" s="71">
        <f t="shared" si="53"/>
        <v>0.79439252336448596</v>
      </c>
      <c r="X98" s="74">
        <f t="shared" si="54"/>
        <v>0.20560747663551404</v>
      </c>
      <c r="Y98" s="73">
        <f t="shared" si="55"/>
        <v>5.8255451713395638</v>
      </c>
      <c r="Z98" s="71">
        <f t="shared" si="77"/>
        <v>20.616408949306145</v>
      </c>
      <c r="AA98" s="71">
        <f t="shared" si="78"/>
        <v>17.783329887129621</v>
      </c>
      <c r="AB98" s="71">
        <v>0</v>
      </c>
      <c r="AC98" s="71">
        <f t="shared" si="56"/>
        <v>0.72736769031129855</v>
      </c>
      <c r="AD98" s="74">
        <f t="shared" si="67"/>
        <v>0.72736769031129855</v>
      </c>
      <c r="AE98" s="73">
        <f t="shared" si="76"/>
        <v>14.063636363636363</v>
      </c>
      <c r="AF98" s="71">
        <f t="shared" si="68"/>
        <v>15.850050814898522</v>
      </c>
      <c r="AG98" s="71">
        <f t="shared" si="57"/>
        <v>1.0048964433394612</v>
      </c>
      <c r="AH98" s="71">
        <f t="shared" si="58"/>
        <v>5.0275036444194381</v>
      </c>
      <c r="AI98" s="74">
        <f t="shared" si="69"/>
        <v>6.0324000877588997</v>
      </c>
      <c r="AJ98" s="73">
        <f t="shared" si="70"/>
        <v>3.64</v>
      </c>
      <c r="AK98" s="71">
        <f t="shared" si="59"/>
        <v>8.0636661041744659</v>
      </c>
      <c r="AL98" s="71">
        <f t="shared" si="60"/>
        <v>0.2600908441584488</v>
      </c>
      <c r="AM98" s="71">
        <f t="shared" si="71"/>
        <v>0</v>
      </c>
      <c r="AN98" s="188">
        <f t="shared" si="61"/>
        <v>0.24739690739167375</v>
      </c>
      <c r="AO98" s="74">
        <f t="shared" si="72"/>
        <v>0.5074877515501226</v>
      </c>
      <c r="AP98" s="73">
        <f t="shared" si="62"/>
        <v>0.47437023281171647</v>
      </c>
      <c r="AQ98" s="206">
        <f t="shared" si="63"/>
        <v>0.72736769031129855</v>
      </c>
      <c r="AR98" s="206">
        <f t="shared" si="64"/>
        <v>3.0218089420955812</v>
      </c>
      <c r="AS98" s="71">
        <f t="shared" si="65"/>
        <v>0.12000000000000001</v>
      </c>
      <c r="AT98" s="74">
        <f t="shared" si="66"/>
        <v>3.6299999999999995E-5</v>
      </c>
      <c r="AU98" s="73">
        <f t="shared" si="73"/>
        <v>11.610838694838918</v>
      </c>
      <c r="AV98" s="71">
        <f t="shared" si="74"/>
        <v>194.74</v>
      </c>
      <c r="AW98" s="74">
        <f t="shared" si="75"/>
        <v>94.373253451123816</v>
      </c>
    </row>
    <row r="99" spans="17:49" x14ac:dyDescent="0.25">
      <c r="Q99">
        <v>92</v>
      </c>
      <c r="R99" s="73">
        <f t="shared" si="49"/>
        <v>53.5</v>
      </c>
      <c r="S99" s="71">
        <f t="shared" si="50"/>
        <v>3.68</v>
      </c>
      <c r="T99" s="71">
        <f t="shared" si="51"/>
        <v>11</v>
      </c>
      <c r="U99" s="74">
        <f t="shared" si="52"/>
        <v>17.898181818181818</v>
      </c>
      <c r="V99" s="73">
        <f>IF(Variable_Management!$B$20=3,2,IF((S99*R99/T99)&lt;((T99*(1-(T99/R99)))/(2*Lm*Fsw)),1,2))</f>
        <v>2</v>
      </c>
      <c r="W99" s="71">
        <f t="shared" si="53"/>
        <v>0.79439252336448596</v>
      </c>
      <c r="X99" s="74">
        <f t="shared" si="54"/>
        <v>0.20560747663551404</v>
      </c>
      <c r="Y99" s="73">
        <f t="shared" si="55"/>
        <v>5.8255451713395638</v>
      </c>
      <c r="Z99" s="71">
        <f t="shared" si="77"/>
        <v>20.8109544038516</v>
      </c>
      <c r="AA99" s="71">
        <f t="shared" si="78"/>
        <v>17.977012926938222</v>
      </c>
      <c r="AB99" s="71">
        <v>0</v>
      </c>
      <c r="AC99" s="71">
        <f t="shared" si="56"/>
        <v>0.7432978856831991</v>
      </c>
      <c r="AD99" s="74">
        <f t="shared" si="67"/>
        <v>0.7432978856831991</v>
      </c>
      <c r="AE99" s="73">
        <f t="shared" si="76"/>
        <v>14.218181818181819</v>
      </c>
      <c r="AF99" s="71">
        <f t="shared" si="68"/>
        <v>16.022677991160499</v>
      </c>
      <c r="AG99" s="71">
        <f t="shared" si="57"/>
        <v>1.0269048400336762</v>
      </c>
      <c r="AH99" s="71">
        <f t="shared" si="58"/>
        <v>5.0827509372152564</v>
      </c>
      <c r="AI99" s="74">
        <f t="shared" si="69"/>
        <v>6.1096557772489328</v>
      </c>
      <c r="AJ99" s="73">
        <f t="shared" si="70"/>
        <v>3.6800000000000006</v>
      </c>
      <c r="AK99" s="71">
        <f t="shared" si="59"/>
        <v>8.1514896655080751</v>
      </c>
      <c r="AL99" s="71">
        <f t="shared" si="60"/>
        <v>0.26578713506753981</v>
      </c>
      <c r="AM99" s="71">
        <f t="shared" si="71"/>
        <v>0</v>
      </c>
      <c r="AN99" s="188">
        <f t="shared" si="61"/>
        <v>0.2497314528462192</v>
      </c>
      <c r="AO99" s="74">
        <f t="shared" si="72"/>
        <v>0.51551858791375904</v>
      </c>
      <c r="AP99" s="73">
        <f t="shared" si="62"/>
        <v>0.48475949066295593</v>
      </c>
      <c r="AQ99" s="206">
        <f t="shared" si="63"/>
        <v>0.7432978856831991</v>
      </c>
      <c r="AR99" s="206">
        <f t="shared" si="64"/>
        <v>3.0218089420955812</v>
      </c>
      <c r="AS99" s="71">
        <f t="shared" si="65"/>
        <v>0.12000000000000001</v>
      </c>
      <c r="AT99" s="74">
        <f t="shared" si="66"/>
        <v>3.6299999999999995E-5</v>
      </c>
      <c r="AU99" s="73">
        <f t="shared" si="73"/>
        <v>11.738374869287625</v>
      </c>
      <c r="AV99" s="71">
        <f t="shared" si="74"/>
        <v>196.88</v>
      </c>
      <c r="AW99" s="74">
        <f t="shared" si="75"/>
        <v>94.373278539513876</v>
      </c>
    </row>
    <row r="100" spans="17:49" x14ac:dyDescent="0.25">
      <c r="Q100">
        <v>93</v>
      </c>
      <c r="R100" s="73">
        <f t="shared" si="49"/>
        <v>53.5</v>
      </c>
      <c r="S100" s="71">
        <f t="shared" si="50"/>
        <v>3.72</v>
      </c>
      <c r="T100" s="71">
        <f t="shared" si="51"/>
        <v>11</v>
      </c>
      <c r="U100" s="74">
        <f t="shared" si="52"/>
        <v>18.092727272727274</v>
      </c>
      <c r="V100" s="73">
        <f>IF(Variable_Management!$B$20=3,2,IF((S100*R100/T100)&lt;((T100*(1-(T100/R100)))/(2*Lm*Fsw)),1,2))</f>
        <v>2</v>
      </c>
      <c r="W100" s="71">
        <f t="shared" si="53"/>
        <v>0.79439252336448596</v>
      </c>
      <c r="X100" s="74">
        <f t="shared" si="54"/>
        <v>0.20560747663551404</v>
      </c>
      <c r="Y100" s="73">
        <f t="shared" si="55"/>
        <v>5.8255451713395638</v>
      </c>
      <c r="Z100" s="71">
        <f t="shared" si="77"/>
        <v>21.005499858397055</v>
      </c>
      <c r="AA100" s="71">
        <f t="shared" si="78"/>
        <v>18.170714392777711</v>
      </c>
      <c r="AB100" s="71">
        <v>0</v>
      </c>
      <c r="AC100" s="71">
        <f t="shared" si="56"/>
        <v>0.75940218155096784</v>
      </c>
      <c r="AD100" s="74">
        <f t="shared" si="67"/>
        <v>0.75940218155096784</v>
      </c>
      <c r="AE100" s="73">
        <f t="shared" si="76"/>
        <v>14.372727272727273</v>
      </c>
      <c r="AF100" s="71">
        <f t="shared" si="68"/>
        <v>16.195321590304335</v>
      </c>
      <c r="AG100" s="71">
        <f t="shared" si="57"/>
        <v>1.0491537656535108</v>
      </c>
      <c r="AH100" s="71">
        <f t="shared" si="58"/>
        <v>5.1379982300110747</v>
      </c>
      <c r="AI100" s="74">
        <f t="shared" si="69"/>
        <v>6.1871519956645855</v>
      </c>
      <c r="AJ100" s="73">
        <f t="shared" si="70"/>
        <v>3.7200000000000006</v>
      </c>
      <c r="AK100" s="71">
        <f t="shared" si="59"/>
        <v>8.2393215819338739</v>
      </c>
      <c r="AL100" s="71">
        <f t="shared" si="60"/>
        <v>0.27154568052208528</v>
      </c>
      <c r="AM100" s="71">
        <f t="shared" si="71"/>
        <v>0</v>
      </c>
      <c r="AN100" s="188">
        <f t="shared" si="61"/>
        <v>0.25206599830076465</v>
      </c>
      <c r="AO100" s="74">
        <f t="shared" si="72"/>
        <v>0.52361167882284998</v>
      </c>
      <c r="AP100" s="73">
        <f t="shared" si="62"/>
        <v>0.49526229231584862</v>
      </c>
      <c r="AQ100" s="206">
        <f t="shared" si="63"/>
        <v>0.75940218155096784</v>
      </c>
      <c r="AR100" s="206">
        <f t="shared" si="64"/>
        <v>3.0218089420955812</v>
      </c>
      <c r="AS100" s="71">
        <f t="shared" si="65"/>
        <v>0.12000000000000001</v>
      </c>
      <c r="AT100" s="74">
        <f t="shared" si="66"/>
        <v>3.6299999999999995E-5</v>
      </c>
      <c r="AU100" s="73">
        <f t="shared" si="73"/>
        <v>11.866675572000801</v>
      </c>
      <c r="AV100" s="71">
        <f t="shared" si="74"/>
        <v>199.02</v>
      </c>
      <c r="AW100" s="74">
        <f t="shared" si="75"/>
        <v>94.372960956488086</v>
      </c>
    </row>
    <row r="101" spans="17:49" x14ac:dyDescent="0.25">
      <c r="Q101">
        <v>94</v>
      </c>
      <c r="R101" s="73">
        <f t="shared" si="49"/>
        <v>53.5</v>
      </c>
      <c r="S101" s="71">
        <f t="shared" si="50"/>
        <v>3.7600000000000002</v>
      </c>
      <c r="T101" s="71">
        <f t="shared" si="51"/>
        <v>11</v>
      </c>
      <c r="U101" s="74">
        <f t="shared" si="52"/>
        <v>18.287272727272729</v>
      </c>
      <c r="V101" s="73">
        <f>IF(Variable_Management!$B$20=3,2,IF((S101*R101/T101)&lt;((T101*(1-(T101/R101)))/(2*Lm*Fsw)),1,2))</f>
        <v>2</v>
      </c>
      <c r="W101" s="71">
        <f t="shared" si="53"/>
        <v>0.79439252336448596</v>
      </c>
      <c r="X101" s="74">
        <f t="shared" si="54"/>
        <v>0.20560747663551404</v>
      </c>
      <c r="Y101" s="73">
        <f t="shared" si="55"/>
        <v>5.8255451713395638</v>
      </c>
      <c r="Z101" s="71">
        <f t="shared" si="77"/>
        <v>21.20004531294251</v>
      </c>
      <c r="AA101" s="71">
        <f t="shared" si="78"/>
        <v>18.364433701594578</v>
      </c>
      <c r="AB101" s="71">
        <v>0</v>
      </c>
      <c r="AC101" s="71">
        <f t="shared" si="56"/>
        <v>0.77568057791460421</v>
      </c>
      <c r="AD101" s="74">
        <f t="shared" si="67"/>
        <v>0.77568057791460421</v>
      </c>
      <c r="AE101" s="73">
        <f t="shared" si="76"/>
        <v>14.527272727272727</v>
      </c>
      <c r="AF101" s="71">
        <f t="shared" si="68"/>
        <v>16.367981092662021</v>
      </c>
      <c r="AG101" s="71">
        <f t="shared" si="57"/>
        <v>1.0716432201989656</v>
      </c>
      <c r="AH101" s="71">
        <f t="shared" si="58"/>
        <v>5.193245522806893</v>
      </c>
      <c r="AI101" s="74">
        <f t="shared" si="69"/>
        <v>6.2648887430058586</v>
      </c>
      <c r="AJ101" s="73">
        <f t="shared" si="70"/>
        <v>3.7600000000000007</v>
      </c>
      <c r="AK101" s="71">
        <f t="shared" si="59"/>
        <v>8.327161589072313</v>
      </c>
      <c r="AL101" s="71">
        <f t="shared" si="60"/>
        <v>0.27736648052208535</v>
      </c>
      <c r="AM101" s="71">
        <f t="shared" si="71"/>
        <v>0</v>
      </c>
      <c r="AN101" s="188">
        <f t="shared" si="61"/>
        <v>0.25440054375531013</v>
      </c>
      <c r="AO101" s="74">
        <f t="shared" si="72"/>
        <v>0.53176702427739553</v>
      </c>
      <c r="AP101" s="73">
        <f t="shared" si="62"/>
        <v>0.5058786377703941</v>
      </c>
      <c r="AQ101" s="206">
        <f t="shared" si="63"/>
        <v>0.77568057791460421</v>
      </c>
      <c r="AR101" s="206">
        <f t="shared" si="64"/>
        <v>3.0218089420955812</v>
      </c>
      <c r="AS101" s="71">
        <f t="shared" si="65"/>
        <v>0.12000000000000001</v>
      </c>
      <c r="AT101" s="74">
        <f t="shared" si="66"/>
        <v>3.6299999999999995E-5</v>
      </c>
      <c r="AU101" s="73">
        <f t="shared" si="73"/>
        <v>11.995740802978435</v>
      </c>
      <c r="AV101" s="71">
        <f t="shared" si="74"/>
        <v>201.16000000000003</v>
      </c>
      <c r="AW101" s="74">
        <f t="shared" si="75"/>
        <v>94.372311645096062</v>
      </c>
    </row>
    <row r="102" spans="17:49" x14ac:dyDescent="0.25">
      <c r="Q102">
        <v>95</v>
      </c>
      <c r="R102" s="73">
        <f t="shared" si="49"/>
        <v>53.5</v>
      </c>
      <c r="S102" s="71">
        <f t="shared" si="50"/>
        <v>3.8000000000000003</v>
      </c>
      <c r="T102" s="71">
        <f t="shared" si="51"/>
        <v>11</v>
      </c>
      <c r="U102" s="74">
        <f t="shared" si="52"/>
        <v>18.481818181818184</v>
      </c>
      <c r="V102" s="73">
        <f>IF(Variable_Management!$B$20=3,2,IF((S102*R102/T102)&lt;((T102*(1-(T102/R102)))/(2*Lm*Fsw)),1,2))</f>
        <v>2</v>
      </c>
      <c r="W102" s="71">
        <f t="shared" si="53"/>
        <v>0.79439252336448596</v>
      </c>
      <c r="X102" s="74">
        <f t="shared" si="54"/>
        <v>0.20560747663551404</v>
      </c>
      <c r="Y102" s="73">
        <f t="shared" si="55"/>
        <v>5.8255451713395638</v>
      </c>
      <c r="Z102" s="71">
        <f t="shared" si="77"/>
        <v>21.394590767487966</v>
      </c>
      <c r="AA102" s="71">
        <f t="shared" si="78"/>
        <v>18.558170294627512</v>
      </c>
      <c r="AB102" s="71">
        <v>0</v>
      </c>
      <c r="AC102" s="71">
        <f t="shared" si="56"/>
        <v>0.79213307477410844</v>
      </c>
      <c r="AD102" s="74">
        <f t="shared" si="67"/>
        <v>0.79213307477410844</v>
      </c>
      <c r="AE102" s="73">
        <f t="shared" si="76"/>
        <v>14.681818181818183</v>
      </c>
      <c r="AF102" s="71">
        <f t="shared" si="68"/>
        <v>16.54065600021686</v>
      </c>
      <c r="AG102" s="71">
        <f t="shared" si="57"/>
        <v>1.0943732036700402</v>
      </c>
      <c r="AH102" s="71">
        <f t="shared" si="58"/>
        <v>5.2484928156027113</v>
      </c>
      <c r="AI102" s="74">
        <f t="shared" si="69"/>
        <v>6.3428660192727513</v>
      </c>
      <c r="AJ102" s="73">
        <f t="shared" si="70"/>
        <v>3.8000000000000007</v>
      </c>
      <c r="AK102" s="71">
        <f t="shared" si="59"/>
        <v>8.4150094335588808</v>
      </c>
      <c r="AL102" s="71">
        <f t="shared" si="60"/>
        <v>0.2832495350675398</v>
      </c>
      <c r="AM102" s="71">
        <f t="shared" si="71"/>
        <v>0</v>
      </c>
      <c r="AN102" s="188">
        <f t="shared" si="61"/>
        <v>0.2567350892098556</v>
      </c>
      <c r="AO102" s="74">
        <f t="shared" si="72"/>
        <v>0.53998462427739535</v>
      </c>
      <c r="AP102" s="73">
        <f t="shared" si="62"/>
        <v>0.51660852702659255</v>
      </c>
      <c r="AQ102" s="206">
        <f t="shared" si="63"/>
        <v>0.79213307477410844</v>
      </c>
      <c r="AR102" s="206">
        <f t="shared" si="64"/>
        <v>3.0218089420955812</v>
      </c>
      <c r="AS102" s="71">
        <f t="shared" si="65"/>
        <v>0.12000000000000001</v>
      </c>
      <c r="AT102" s="74">
        <f t="shared" si="66"/>
        <v>3.6299999999999995E-5</v>
      </c>
      <c r="AU102" s="73">
        <f t="shared" si="73"/>
        <v>12.125570562220535</v>
      </c>
      <c r="AV102" s="71">
        <f t="shared" si="74"/>
        <v>203.3</v>
      </c>
      <c r="AW102" s="74">
        <f t="shared" si="75"/>
        <v>94.371341094478694</v>
      </c>
    </row>
    <row r="103" spans="17:49" x14ac:dyDescent="0.25">
      <c r="Q103">
        <v>96</v>
      </c>
      <c r="R103" s="73">
        <f t="shared" si="49"/>
        <v>53.5</v>
      </c>
      <c r="S103" s="71">
        <f t="shared" ref="S103:S134" si="79">Q103*$O$12</f>
        <v>3.84</v>
      </c>
      <c r="T103" s="71">
        <f t="shared" si="51"/>
        <v>11</v>
      </c>
      <c r="U103" s="74">
        <f t="shared" ref="U103:U134" si="80">(R103*S103)/(T103*EFF_est)</f>
        <v>18.676363636363636</v>
      </c>
      <c r="V103" s="73">
        <f>IF(Variable_Management!$B$20=3,2,IF((S103*R103/T103)&lt;((T103*(1-(T103/R103)))/(2*Lm*Fsw)),1,2))</f>
        <v>2</v>
      </c>
      <c r="W103" s="71">
        <f t="shared" ref="W103:W134" si="81">CHOOSE(V103,SQRT((2*S103*Lm*Fsw*(R103-T103))/((T103)^2)),1-(T103/R103))</f>
        <v>0.79439252336448596</v>
      </c>
      <c r="X103" s="74">
        <f t="shared" ref="X103:X134" si="82">CHOOSE(V103,(Lm*Z103*Fsw)/(R103-T103),1-W103)</f>
        <v>0.20560747663551404</v>
      </c>
      <c r="Y103" s="73">
        <f t="shared" ref="Y103:Y134" si="83">(T103*W103)/(Lm*Fsw)</f>
        <v>5.8255451713395638</v>
      </c>
      <c r="Z103" s="71">
        <f t="shared" si="77"/>
        <v>21.589136222033417</v>
      </c>
      <c r="AA103" s="71">
        <f t="shared" si="78"/>
        <v>18.751923636157859</v>
      </c>
      <c r="AB103" s="71">
        <v>0</v>
      </c>
      <c r="AC103" s="71">
        <f t="shared" ref="AC103:AC134" si="84">(AA103^2)*Rdcr</f>
        <v>0.8087596721294803</v>
      </c>
      <c r="AD103" s="74">
        <f t="shared" si="67"/>
        <v>0.8087596721294803</v>
      </c>
      <c r="AE103" s="73">
        <f t="shared" si="76"/>
        <v>14.836363636363636</v>
      </c>
      <c r="AF103" s="71">
        <f t="shared" si="68"/>
        <v>16.713345835489779</v>
      </c>
      <c r="AG103" s="71">
        <f t="shared" ref="AG103:AG134" si="85">(AF103^2)*RDS_on</f>
        <v>1.1173437160667343</v>
      </c>
      <c r="AH103" s="71">
        <f t="shared" ref="AH103:AH134" si="86">((R103*U103)/2)*Fsw*(tr_sw+tf_sw)</f>
        <v>5.3037401083985278</v>
      </c>
      <c r="AI103" s="74">
        <f t="shared" si="69"/>
        <v>6.4210838244652617</v>
      </c>
      <c r="AJ103" s="73">
        <f t="shared" si="70"/>
        <v>3.8400000000000003</v>
      </c>
      <c r="AK103" s="71">
        <f t="shared" ref="AK103:AK134" si="87">CHOOSE(V103,Z103*SQRT(X103/3),SQRT(X103*((Z103^2)+((Y103^2)/3)-(Y103*Z103))))</f>
        <v>8.5028648724775238</v>
      </c>
      <c r="AL103" s="71">
        <f t="shared" ref="AL103:AL134" si="88">(AK103^2)*RDS_on_HS</f>
        <v>0.28919484415844887</v>
      </c>
      <c r="AM103" s="71">
        <f t="shared" si="71"/>
        <v>0</v>
      </c>
      <c r="AN103" s="188">
        <f t="shared" ref="AN103:AN134" si="89">Vd_rect*t_dead*Fsw*Z103</f>
        <v>0.25906963466440103</v>
      </c>
      <c r="AO103" s="74">
        <f t="shared" si="72"/>
        <v>0.5482644788228499</v>
      </c>
      <c r="AP103" s="73">
        <f t="shared" ref="AP103:AP134" si="90">(AA103^2)*R_cs</f>
        <v>0.52745196008444373</v>
      </c>
      <c r="AQ103" s="206">
        <f t="shared" ref="AQ103:AQ134" si="91">Rdcr*AA103^2</f>
        <v>0.8087596721294803</v>
      </c>
      <c r="AR103" s="206">
        <f t="shared" ref="AR103:AR134" si="92">ABS(7.759*10^-3*Fsw^0.9458*(0.00787*Y103)^2.304)</f>
        <v>3.0218089420955812</v>
      </c>
      <c r="AS103" s="71">
        <f t="shared" ref="AS103:AS134" si="93">(Qg_tot+Qg_tot_HS)*Vcc*Fsw</f>
        <v>0.12000000000000001</v>
      </c>
      <c r="AT103" s="74">
        <f t="shared" ref="AT103:AT134" si="94">IQ*T103</f>
        <v>3.6299999999999995E-5</v>
      </c>
      <c r="AU103" s="73">
        <f t="shared" si="73"/>
        <v>12.256164849727096</v>
      </c>
      <c r="AV103" s="71">
        <f t="shared" si="74"/>
        <v>205.44</v>
      </c>
      <c r="AW103" s="74">
        <f t="shared" si="75"/>
        <v>94.370059363155363</v>
      </c>
    </row>
    <row r="104" spans="17:49" x14ac:dyDescent="0.25">
      <c r="Q104">
        <v>97</v>
      </c>
      <c r="R104" s="73">
        <f t="shared" si="49"/>
        <v>53.5</v>
      </c>
      <c r="S104" s="71">
        <f t="shared" si="79"/>
        <v>3.88</v>
      </c>
      <c r="T104" s="71">
        <f t="shared" si="51"/>
        <v>11</v>
      </c>
      <c r="U104" s="74">
        <f t="shared" si="80"/>
        <v>18.870909090909091</v>
      </c>
      <c r="V104" s="73">
        <f>IF(Variable_Management!$B$20=3,2,IF((S104*R104/T104)&lt;((T104*(1-(T104/R104)))/(2*Lm*Fsw)),1,2))</f>
        <v>2</v>
      </c>
      <c r="W104" s="71">
        <f t="shared" si="81"/>
        <v>0.79439252336448596</v>
      </c>
      <c r="X104" s="74">
        <f t="shared" si="82"/>
        <v>0.20560747663551404</v>
      </c>
      <c r="Y104" s="73">
        <f t="shared" si="83"/>
        <v>5.8255451713395638</v>
      </c>
      <c r="Z104" s="71">
        <f t="shared" si="77"/>
        <v>21.783681676578873</v>
      </c>
      <c r="AA104" s="71">
        <f t="shared" si="78"/>
        <v>18.945693212336284</v>
      </c>
      <c r="AB104" s="71">
        <v>0</v>
      </c>
      <c r="AC104" s="71">
        <f t="shared" si="84"/>
        <v>0.8255603699807198</v>
      </c>
      <c r="AD104" s="74">
        <f t="shared" si="67"/>
        <v>0.8255603699807198</v>
      </c>
      <c r="AE104" s="73">
        <f t="shared" si="76"/>
        <v>14.99090909090909</v>
      </c>
      <c r="AF104" s="71">
        <f t="shared" si="68"/>
        <v>16.886050140493545</v>
      </c>
      <c r="AG104" s="71">
        <f t="shared" si="85"/>
        <v>1.1405547573890482</v>
      </c>
      <c r="AH104" s="71">
        <f t="shared" si="86"/>
        <v>5.3589874011943461</v>
      </c>
      <c r="AI104" s="74">
        <f t="shared" si="69"/>
        <v>6.4995421585833943</v>
      </c>
      <c r="AJ104" s="73">
        <f t="shared" si="70"/>
        <v>3.8800000000000003</v>
      </c>
      <c r="AK104" s="71">
        <f t="shared" si="87"/>
        <v>8.5907276728286028</v>
      </c>
      <c r="AL104" s="71">
        <f t="shared" si="88"/>
        <v>0.2952024077948126</v>
      </c>
      <c r="AM104" s="71">
        <f t="shared" ref="AM104:AM135" si="95">CHOOSE(V104,(R104+Vd_rect)*Qrr*Fsw,(R104+Vd_rect)*Qrr*Fsw)</f>
        <v>0</v>
      </c>
      <c r="AN104" s="188">
        <f t="shared" si="89"/>
        <v>0.26140418011894645</v>
      </c>
      <c r="AO104" s="74">
        <f t="shared" si="72"/>
        <v>0.55660658791375905</v>
      </c>
      <c r="AP104" s="73">
        <f t="shared" si="90"/>
        <v>0.53840893694394765</v>
      </c>
      <c r="AQ104" s="206">
        <f t="shared" si="91"/>
        <v>0.8255603699807198</v>
      </c>
      <c r="AR104" s="206">
        <f t="shared" si="92"/>
        <v>3.0218089420955812</v>
      </c>
      <c r="AS104" s="71">
        <f t="shared" si="93"/>
        <v>0.12000000000000001</v>
      </c>
      <c r="AT104" s="74">
        <f t="shared" si="94"/>
        <v>3.6299999999999995E-5</v>
      </c>
      <c r="AU104" s="73">
        <f t="shared" si="73"/>
        <v>12.387523665498119</v>
      </c>
      <c r="AV104" s="71">
        <f t="shared" si="74"/>
        <v>207.57999999999998</v>
      </c>
      <c r="AW104" s="74">
        <f t="shared" si="75"/>
        <v>94.36847610089221</v>
      </c>
    </row>
    <row r="105" spans="17:49" x14ac:dyDescent="0.25">
      <c r="Q105">
        <v>98</v>
      </c>
      <c r="R105" s="73">
        <f t="shared" si="49"/>
        <v>53.5</v>
      </c>
      <c r="S105" s="71">
        <f t="shared" si="79"/>
        <v>3.92</v>
      </c>
      <c r="T105" s="71">
        <f t="shared" si="51"/>
        <v>11</v>
      </c>
      <c r="U105" s="74">
        <f t="shared" si="80"/>
        <v>19.065454545454546</v>
      </c>
      <c r="V105" s="73">
        <f>IF(Variable_Management!$B$20=3,2,IF((S105*R105/T105)&lt;((T105*(1-(T105/R105)))/(2*Lm*Fsw)),1,2))</f>
        <v>2</v>
      </c>
      <c r="W105" s="71">
        <f t="shared" si="81"/>
        <v>0.79439252336448596</v>
      </c>
      <c r="X105" s="74">
        <f t="shared" si="82"/>
        <v>0.20560747663551404</v>
      </c>
      <c r="Y105" s="73">
        <f t="shared" si="83"/>
        <v>5.8255451713395638</v>
      </c>
      <c r="Z105" s="71">
        <f t="shared" si="77"/>
        <v>21.978227131124328</v>
      </c>
      <c r="AA105" s="71">
        <f t="shared" si="78"/>
        <v>19.139478530080257</v>
      </c>
      <c r="AB105" s="71">
        <v>0</v>
      </c>
      <c r="AC105" s="71">
        <f t="shared" si="84"/>
        <v>0.84253516832782716</v>
      </c>
      <c r="AD105" s="74">
        <f t="shared" si="67"/>
        <v>0.84253516832782716</v>
      </c>
      <c r="AE105" s="73">
        <f t="shared" si="76"/>
        <v>15.145454545454546</v>
      </c>
      <c r="AF105" s="71">
        <f t="shared" si="68"/>
        <v>17.058768475750103</v>
      </c>
      <c r="AG105" s="71">
        <f t="shared" si="85"/>
        <v>1.1640063276369821</v>
      </c>
      <c r="AH105" s="71">
        <f t="shared" si="86"/>
        <v>5.4142346939901635</v>
      </c>
      <c r="AI105" s="74">
        <f t="shared" si="69"/>
        <v>6.5782410216271456</v>
      </c>
      <c r="AJ105" s="73">
        <f t="shared" si="70"/>
        <v>3.9200000000000008</v>
      </c>
      <c r="AK105" s="71">
        <f t="shared" si="87"/>
        <v>8.678597611028966</v>
      </c>
      <c r="AL105" s="71">
        <f t="shared" si="88"/>
        <v>0.30127222597663073</v>
      </c>
      <c r="AM105" s="71">
        <f t="shared" si="95"/>
        <v>0</v>
      </c>
      <c r="AN105" s="188">
        <f t="shared" si="89"/>
        <v>0.26373872557349193</v>
      </c>
      <c r="AO105" s="74">
        <f t="shared" si="72"/>
        <v>0.56501095155012271</v>
      </c>
      <c r="AP105" s="73">
        <f t="shared" si="90"/>
        <v>0.54947945760510475</v>
      </c>
      <c r="AQ105" s="206">
        <f t="shared" si="91"/>
        <v>0.84253516832782716</v>
      </c>
      <c r="AR105" s="206">
        <f t="shared" si="92"/>
        <v>3.0218089420955812</v>
      </c>
      <c r="AS105" s="71">
        <f t="shared" si="93"/>
        <v>0.12000000000000001</v>
      </c>
      <c r="AT105" s="74">
        <f t="shared" si="94"/>
        <v>3.6299999999999995E-5</v>
      </c>
      <c r="AU105" s="73">
        <f t="shared" si="73"/>
        <v>12.51964700953361</v>
      </c>
      <c r="AV105" s="71">
        <f t="shared" si="74"/>
        <v>209.72</v>
      </c>
      <c r="AW105" s="74">
        <f t="shared" si="75"/>
        <v>94.36660056925102</v>
      </c>
    </row>
    <row r="106" spans="17:49" x14ac:dyDescent="0.25">
      <c r="Q106">
        <v>99</v>
      </c>
      <c r="R106" s="73">
        <f t="shared" si="49"/>
        <v>53.5</v>
      </c>
      <c r="S106" s="71">
        <f t="shared" si="79"/>
        <v>3.96</v>
      </c>
      <c r="T106" s="71">
        <f t="shared" si="51"/>
        <v>11</v>
      </c>
      <c r="U106" s="74">
        <f t="shared" si="80"/>
        <v>19.259999999999998</v>
      </c>
      <c r="V106" s="73">
        <f>IF(Variable_Management!$B$20=3,2,IF((S106*R106/T106)&lt;((T106*(1-(T106/R106)))/(2*Lm*Fsw)),1,2))</f>
        <v>2</v>
      </c>
      <c r="W106" s="71">
        <f t="shared" si="81"/>
        <v>0.79439252336448596</v>
      </c>
      <c r="X106" s="74">
        <f t="shared" si="82"/>
        <v>0.20560747663551404</v>
      </c>
      <c r="Y106" s="73">
        <f t="shared" si="83"/>
        <v>5.8255451713395638</v>
      </c>
      <c r="Z106" s="71">
        <f t="shared" si="77"/>
        <v>22.172772585669779</v>
      </c>
      <c r="AA106" s="71">
        <f t="shared" si="78"/>
        <v>19.333279116037449</v>
      </c>
      <c r="AB106" s="71">
        <v>0</v>
      </c>
      <c r="AC106" s="71">
        <f t="shared" si="84"/>
        <v>0.85968406717080248</v>
      </c>
      <c r="AD106" s="74">
        <f t="shared" si="67"/>
        <v>0.85968406717080248</v>
      </c>
      <c r="AE106" s="73">
        <f t="shared" si="76"/>
        <v>15.299999999999997</v>
      </c>
      <c r="AF106" s="71">
        <f t="shared" si="68"/>
        <v>17.231500419366675</v>
      </c>
      <c r="AG106" s="71">
        <f t="shared" si="85"/>
        <v>1.1876984268105357</v>
      </c>
      <c r="AH106" s="71">
        <f t="shared" si="86"/>
        <v>5.4694819867859819</v>
      </c>
      <c r="AI106" s="74">
        <f t="shared" si="69"/>
        <v>6.6571804135965174</v>
      </c>
      <c r="AJ106" s="73">
        <f t="shared" si="70"/>
        <v>3.96</v>
      </c>
      <c r="AK106" s="71">
        <f t="shared" si="87"/>
        <v>8.7664744724419208</v>
      </c>
      <c r="AL106" s="71">
        <f t="shared" si="88"/>
        <v>0.3074042987039034</v>
      </c>
      <c r="AM106" s="71">
        <f t="shared" si="95"/>
        <v>0</v>
      </c>
      <c r="AN106" s="188">
        <f t="shared" si="89"/>
        <v>0.26607327102803735</v>
      </c>
      <c r="AO106" s="74">
        <f t="shared" si="72"/>
        <v>0.57347756973194075</v>
      </c>
      <c r="AP106" s="73">
        <f t="shared" si="90"/>
        <v>0.5606635220679147</v>
      </c>
      <c r="AQ106" s="206">
        <f t="shared" si="91"/>
        <v>0.85968406717080248</v>
      </c>
      <c r="AR106" s="206">
        <f t="shared" si="92"/>
        <v>3.0218089420955812</v>
      </c>
      <c r="AS106" s="71">
        <f t="shared" si="93"/>
        <v>0.12000000000000001</v>
      </c>
      <c r="AT106" s="74">
        <f t="shared" si="94"/>
        <v>3.6299999999999995E-5</v>
      </c>
      <c r="AU106" s="73">
        <f t="shared" si="73"/>
        <v>12.652534881833557</v>
      </c>
      <c r="AV106" s="71">
        <f t="shared" si="74"/>
        <v>211.85999999999999</v>
      </c>
      <c r="AW106" s="74">
        <f t="shared" si="75"/>
        <v>94.36444166091087</v>
      </c>
    </row>
    <row r="107" spans="17:49" x14ac:dyDescent="0.25">
      <c r="Q107">
        <v>100</v>
      </c>
      <c r="R107" s="73">
        <f t="shared" si="49"/>
        <v>53.5</v>
      </c>
      <c r="S107" s="71">
        <f t="shared" si="79"/>
        <v>4</v>
      </c>
      <c r="T107" s="71">
        <f t="shared" si="51"/>
        <v>11</v>
      </c>
      <c r="U107" s="74">
        <f t="shared" si="80"/>
        <v>19.454545454545453</v>
      </c>
      <c r="V107" s="73">
        <f>IF(Variable_Management!$B$20=3,2,IF((S107*R107/T107)&lt;((T107*(1-(T107/R107)))/(2*Lm*Fsw)),1,2))</f>
        <v>2</v>
      </c>
      <c r="W107" s="71">
        <f t="shared" si="81"/>
        <v>0.79439252336448596</v>
      </c>
      <c r="X107" s="74">
        <f t="shared" si="82"/>
        <v>0.20560747663551404</v>
      </c>
      <c r="Y107" s="73">
        <f t="shared" si="83"/>
        <v>5.8255451713395638</v>
      </c>
      <c r="Z107" s="71">
        <f t="shared" si="77"/>
        <v>22.367318040215235</v>
      </c>
      <c r="AA107" s="71">
        <f t="shared" si="78"/>
        <v>19.527094515610482</v>
      </c>
      <c r="AB107" s="71">
        <v>0</v>
      </c>
      <c r="AC107" s="71">
        <f t="shared" si="84"/>
        <v>0.87700706650964533</v>
      </c>
      <c r="AD107" s="74">
        <f t="shared" si="67"/>
        <v>0.87700706650964533</v>
      </c>
      <c r="AE107" s="73">
        <f t="shared" si="76"/>
        <v>15.454545454545453</v>
      </c>
      <c r="AF107" s="71">
        <f t="shared" si="68"/>
        <v>17.40424556616653</v>
      </c>
      <c r="AG107" s="71">
        <f t="shared" si="85"/>
        <v>1.2116310549097093</v>
      </c>
      <c r="AH107" s="71">
        <f t="shared" si="86"/>
        <v>5.5247292795818002</v>
      </c>
      <c r="AI107" s="74">
        <f t="shared" si="69"/>
        <v>6.7363603344915095</v>
      </c>
      <c r="AJ107" s="73">
        <f t="shared" si="70"/>
        <v>4</v>
      </c>
      <c r="AK107" s="71">
        <f t="shared" si="87"/>
        <v>8.8543580509350122</v>
      </c>
      <c r="AL107" s="71">
        <f t="shared" si="88"/>
        <v>0.31359862597663068</v>
      </c>
      <c r="AM107" s="71">
        <f t="shared" si="95"/>
        <v>0</v>
      </c>
      <c r="AN107" s="188">
        <f t="shared" si="89"/>
        <v>0.26840781648258283</v>
      </c>
      <c r="AO107" s="74">
        <f t="shared" si="72"/>
        <v>0.58200644245921351</v>
      </c>
      <c r="AP107" s="73">
        <f t="shared" si="90"/>
        <v>0.57196113033237739</v>
      </c>
      <c r="AQ107" s="206">
        <f t="shared" si="91"/>
        <v>0.87700706650964533</v>
      </c>
      <c r="AR107" s="206">
        <f t="shared" si="92"/>
        <v>3.0218089420955812</v>
      </c>
      <c r="AS107" s="71">
        <f t="shared" si="93"/>
        <v>0.12000000000000001</v>
      </c>
      <c r="AT107" s="74">
        <f t="shared" si="94"/>
        <v>3.6299999999999995E-5</v>
      </c>
      <c r="AU107" s="73">
        <f t="shared" si="73"/>
        <v>12.786187282397972</v>
      </c>
      <c r="AV107" s="71">
        <f t="shared" si="74"/>
        <v>214</v>
      </c>
      <c r="AW107" s="74">
        <f t="shared" si="75"/>
        <v>94.362007917847137</v>
      </c>
    </row>
    <row r="108" spans="17:49" x14ac:dyDescent="0.25">
      <c r="Q108">
        <v>101</v>
      </c>
      <c r="R108" s="73">
        <f t="shared" si="49"/>
        <v>53.5</v>
      </c>
      <c r="S108" s="71">
        <f t="shared" si="79"/>
        <v>4.04</v>
      </c>
      <c r="T108" s="71">
        <f t="shared" si="51"/>
        <v>11</v>
      </c>
      <c r="U108" s="74">
        <f t="shared" si="80"/>
        <v>19.649090909090912</v>
      </c>
      <c r="V108" s="73">
        <f>IF(Variable_Management!$B$20=3,2,IF((S108*R108/T108)&lt;((T108*(1-(T108/R108)))/(2*Lm*Fsw)),1,2))</f>
        <v>2</v>
      </c>
      <c r="W108" s="71">
        <f t="shared" si="81"/>
        <v>0.79439252336448596</v>
      </c>
      <c r="X108" s="74">
        <f t="shared" si="82"/>
        <v>0.20560747663551404</v>
      </c>
      <c r="Y108" s="73">
        <f t="shared" si="83"/>
        <v>5.8255451713395638</v>
      </c>
      <c r="Z108" s="71">
        <f t="shared" si="77"/>
        <v>22.561863494760694</v>
      </c>
      <c r="AA108" s="71">
        <f t="shared" si="78"/>
        <v>19.720924292038873</v>
      </c>
      <c r="AB108" s="71">
        <v>0</v>
      </c>
      <c r="AC108" s="71">
        <f t="shared" si="84"/>
        <v>0.89450416634435648</v>
      </c>
      <c r="AD108" s="74">
        <f t="shared" si="67"/>
        <v>0.89450416634435648</v>
      </c>
      <c r="AE108" s="73">
        <f t="shared" si="76"/>
        <v>15.609090909090911</v>
      </c>
      <c r="AF108" s="71">
        <f t="shared" si="68"/>
        <v>17.577003526870719</v>
      </c>
      <c r="AG108" s="71">
        <f t="shared" si="85"/>
        <v>1.2358042119345027</v>
      </c>
      <c r="AH108" s="71">
        <f t="shared" si="86"/>
        <v>5.5799765723776193</v>
      </c>
      <c r="AI108" s="74">
        <f t="shared" si="69"/>
        <v>6.8157807843121221</v>
      </c>
      <c r="AJ108" s="73">
        <f t="shared" si="70"/>
        <v>4.0400000000000009</v>
      </c>
      <c r="AK108" s="71">
        <f t="shared" si="87"/>
        <v>8.9422481484637366</v>
      </c>
      <c r="AL108" s="71">
        <f t="shared" si="88"/>
        <v>0.31985520779481247</v>
      </c>
      <c r="AM108" s="71">
        <f t="shared" si="95"/>
        <v>0</v>
      </c>
      <c r="AN108" s="188">
        <f t="shared" si="89"/>
        <v>0.27074236193712831</v>
      </c>
      <c r="AO108" s="74">
        <f t="shared" si="72"/>
        <v>0.59059756973194077</v>
      </c>
      <c r="AP108" s="73">
        <f t="shared" si="90"/>
        <v>0.58337228239849337</v>
      </c>
      <c r="AQ108" s="206">
        <f t="shared" si="91"/>
        <v>0.89450416634435648</v>
      </c>
      <c r="AR108" s="206">
        <f t="shared" si="92"/>
        <v>3.0218089420955812</v>
      </c>
      <c r="AS108" s="71">
        <f t="shared" si="93"/>
        <v>0.12000000000000001</v>
      </c>
      <c r="AT108" s="74">
        <f t="shared" si="94"/>
        <v>3.6299999999999995E-5</v>
      </c>
      <c r="AU108" s="73">
        <f t="shared" si="73"/>
        <v>12.920604211226848</v>
      </c>
      <c r="AV108" s="71">
        <f t="shared" si="74"/>
        <v>216.14000000000001</v>
      </c>
      <c r="AW108" s="74">
        <f t="shared" si="75"/>
        <v>94.359307548445912</v>
      </c>
    </row>
    <row r="109" spans="17:49" x14ac:dyDescent="0.25">
      <c r="Q109">
        <v>102</v>
      </c>
      <c r="R109" s="73">
        <f t="shared" si="49"/>
        <v>53.5</v>
      </c>
      <c r="S109" s="71">
        <f t="shared" si="79"/>
        <v>4.08</v>
      </c>
      <c r="T109" s="71">
        <f t="shared" si="51"/>
        <v>11</v>
      </c>
      <c r="U109" s="74">
        <f t="shared" si="80"/>
        <v>19.843636363636364</v>
      </c>
      <c r="V109" s="73">
        <f>IF(Variable_Management!$B$20=3,2,IF((S109*R109/T109)&lt;((T109*(1-(T109/R109)))/(2*Lm*Fsw)),1,2))</f>
        <v>2</v>
      </c>
      <c r="W109" s="71">
        <f t="shared" si="81"/>
        <v>0.79439252336448596</v>
      </c>
      <c r="X109" s="74">
        <f t="shared" si="82"/>
        <v>0.20560747663551404</v>
      </c>
      <c r="Y109" s="73">
        <f t="shared" si="83"/>
        <v>5.8255451713395638</v>
      </c>
      <c r="Z109" s="71">
        <f t="shared" si="77"/>
        <v>22.756408949306145</v>
      </c>
      <c r="AA109" s="71">
        <f t="shared" si="78"/>
        <v>19.914768025534247</v>
      </c>
      <c r="AB109" s="71">
        <v>0</v>
      </c>
      <c r="AC109" s="71">
        <f t="shared" si="84"/>
        <v>0.91217536667493482</v>
      </c>
      <c r="AD109" s="74">
        <f t="shared" si="67"/>
        <v>0.91217536667493482</v>
      </c>
      <c r="AE109" s="73">
        <f t="shared" si="76"/>
        <v>15.763636363636364</v>
      </c>
      <c r="AF109" s="71">
        <f t="shared" si="68"/>
        <v>17.749773927327325</v>
      </c>
      <c r="AG109" s="71">
        <f t="shared" si="85"/>
        <v>1.2602178978849157</v>
      </c>
      <c r="AH109" s="71">
        <f t="shared" si="86"/>
        <v>5.6352238651734368</v>
      </c>
      <c r="AI109" s="74">
        <f t="shared" si="69"/>
        <v>6.8954417630583524</v>
      </c>
      <c r="AJ109" s="73">
        <f t="shared" si="70"/>
        <v>4.08</v>
      </c>
      <c r="AK109" s="71">
        <f t="shared" si="87"/>
        <v>9.0301445746794222</v>
      </c>
      <c r="AL109" s="71">
        <f t="shared" si="88"/>
        <v>0.32617404415844881</v>
      </c>
      <c r="AM109" s="71">
        <f t="shared" si="95"/>
        <v>0</v>
      </c>
      <c r="AN109" s="188">
        <f t="shared" si="89"/>
        <v>0.27307690739167373</v>
      </c>
      <c r="AO109" s="74">
        <f t="shared" si="72"/>
        <v>0.59925095155012253</v>
      </c>
      <c r="AP109" s="73">
        <f t="shared" si="90"/>
        <v>0.59489697826626187</v>
      </c>
      <c r="AQ109" s="206">
        <f t="shared" si="91"/>
        <v>0.91217536667493482</v>
      </c>
      <c r="AR109" s="206">
        <f t="shared" si="92"/>
        <v>3.0218089420955812</v>
      </c>
      <c r="AS109" s="71">
        <f t="shared" si="93"/>
        <v>0.12000000000000001</v>
      </c>
      <c r="AT109" s="74">
        <f t="shared" si="94"/>
        <v>3.6299999999999995E-5</v>
      </c>
      <c r="AU109" s="73">
        <f t="shared" si="73"/>
        <v>13.055785668320187</v>
      </c>
      <c r="AV109" s="71">
        <f t="shared" si="74"/>
        <v>218.28</v>
      </c>
      <c r="AW109" s="74">
        <f t="shared" si="75"/>
        <v>94.35634844362599</v>
      </c>
    </row>
    <row r="110" spans="17:49" x14ac:dyDescent="0.25">
      <c r="Q110">
        <v>103</v>
      </c>
      <c r="R110" s="73">
        <f t="shared" si="49"/>
        <v>53.5</v>
      </c>
      <c r="S110" s="71">
        <f t="shared" si="79"/>
        <v>4.12</v>
      </c>
      <c r="T110" s="71">
        <f t="shared" si="51"/>
        <v>11</v>
      </c>
      <c r="U110" s="74">
        <f t="shared" si="80"/>
        <v>20.038181818181819</v>
      </c>
      <c r="V110" s="73">
        <f>IF(Variable_Management!$B$20=3,2,IF((S110*R110/T110)&lt;((T110*(1-(T110/R110)))/(2*Lm*Fsw)),1,2))</f>
        <v>2</v>
      </c>
      <c r="W110" s="71">
        <f t="shared" si="81"/>
        <v>0.79439252336448596</v>
      </c>
      <c r="X110" s="74">
        <f t="shared" si="82"/>
        <v>0.20560747663551404</v>
      </c>
      <c r="Y110" s="73">
        <f t="shared" si="83"/>
        <v>5.8255451713395638</v>
      </c>
      <c r="Z110" s="71">
        <f t="shared" si="77"/>
        <v>22.9509544038516</v>
      </c>
      <c r="AA110" s="71">
        <f t="shared" si="78"/>
        <v>20.10862531246535</v>
      </c>
      <c r="AB110" s="71">
        <v>0</v>
      </c>
      <c r="AC110" s="71">
        <f t="shared" si="84"/>
        <v>0.93002066750138102</v>
      </c>
      <c r="AD110" s="74">
        <f t="shared" si="67"/>
        <v>0.93002066750138102</v>
      </c>
      <c r="AE110" s="73">
        <f t="shared" si="76"/>
        <v>15.918181818181818</v>
      </c>
      <c r="AF110" s="71">
        <f t="shared" si="68"/>
        <v>17.922556407785056</v>
      </c>
      <c r="AG110" s="71">
        <f t="shared" si="85"/>
        <v>1.2848721127609486</v>
      </c>
      <c r="AH110" s="71">
        <f t="shared" si="86"/>
        <v>5.6904711579692542</v>
      </c>
      <c r="AI110" s="74">
        <f t="shared" si="69"/>
        <v>6.9753432707302032</v>
      </c>
      <c r="AJ110" s="73">
        <f t="shared" si="70"/>
        <v>4.120000000000001</v>
      </c>
      <c r="AK110" s="71">
        <f t="shared" si="87"/>
        <v>9.11804714655967</v>
      </c>
      <c r="AL110" s="71">
        <f t="shared" si="88"/>
        <v>0.33255513506753975</v>
      </c>
      <c r="AM110" s="71">
        <f t="shared" si="95"/>
        <v>0</v>
      </c>
      <c r="AN110" s="188">
        <f t="shared" si="89"/>
        <v>0.27541145284621921</v>
      </c>
      <c r="AO110" s="74">
        <f t="shared" si="72"/>
        <v>0.60796658791375902</v>
      </c>
      <c r="AP110" s="73">
        <f t="shared" si="90"/>
        <v>0.60653521793568332</v>
      </c>
      <c r="AQ110" s="206">
        <f t="shared" si="91"/>
        <v>0.93002066750138102</v>
      </c>
      <c r="AR110" s="206">
        <f t="shared" si="92"/>
        <v>3.0218089420955812</v>
      </c>
      <c r="AS110" s="71">
        <f t="shared" si="93"/>
        <v>0.12000000000000001</v>
      </c>
      <c r="AT110" s="74">
        <f t="shared" si="94"/>
        <v>3.6299999999999995E-5</v>
      </c>
      <c r="AU110" s="73">
        <f t="shared" si="73"/>
        <v>13.191731653677987</v>
      </c>
      <c r="AV110" s="71">
        <f t="shared" si="74"/>
        <v>220.42000000000002</v>
      </c>
      <c r="AW110" s="74">
        <f t="shared" si="75"/>
        <v>94.353138192034677</v>
      </c>
    </row>
    <row r="111" spans="17:49" x14ac:dyDescent="0.25">
      <c r="Q111">
        <v>104</v>
      </c>
      <c r="R111" s="73">
        <f t="shared" si="49"/>
        <v>53.5</v>
      </c>
      <c r="S111" s="71">
        <f t="shared" si="79"/>
        <v>4.16</v>
      </c>
      <c r="T111" s="71">
        <f t="shared" si="51"/>
        <v>11</v>
      </c>
      <c r="U111" s="74">
        <f t="shared" si="80"/>
        <v>20.232727272727274</v>
      </c>
      <c r="V111" s="73">
        <f>IF(Variable_Management!$B$20=3,2,IF((S111*R111/T111)&lt;((T111*(1-(T111/R111)))/(2*Lm*Fsw)),1,2))</f>
        <v>2</v>
      </c>
      <c r="W111" s="71">
        <f t="shared" si="81"/>
        <v>0.79439252336448596</v>
      </c>
      <c r="X111" s="74">
        <f t="shared" si="82"/>
        <v>0.20560747663551404</v>
      </c>
      <c r="Y111" s="73">
        <f t="shared" si="83"/>
        <v>5.8255451713395638</v>
      </c>
      <c r="Z111" s="71">
        <f t="shared" si="77"/>
        <v>23.145499858397056</v>
      </c>
      <c r="AA111" s="71">
        <f t="shared" si="78"/>
        <v>20.302495764589434</v>
      </c>
      <c r="AB111" s="71">
        <v>0</v>
      </c>
      <c r="AC111" s="71">
        <f t="shared" si="84"/>
        <v>0.9480400688236954</v>
      </c>
      <c r="AD111" s="74">
        <f t="shared" si="67"/>
        <v>0.9480400688236954</v>
      </c>
      <c r="AE111" s="73">
        <f t="shared" si="76"/>
        <v>16.072727272727274</v>
      </c>
      <c r="AF111" s="71">
        <f t="shared" si="68"/>
        <v>18.095350622208194</v>
      </c>
      <c r="AG111" s="71">
        <f t="shared" si="85"/>
        <v>1.3097668565626019</v>
      </c>
      <c r="AH111" s="71">
        <f t="shared" si="86"/>
        <v>5.7457184507650734</v>
      </c>
      <c r="AI111" s="74">
        <f t="shared" si="69"/>
        <v>7.0554853073276753</v>
      </c>
      <c r="AJ111" s="73">
        <f t="shared" si="70"/>
        <v>4.160000000000001</v>
      </c>
      <c r="AK111" s="71">
        <f t="shared" si="87"/>
        <v>9.2059556880598397</v>
      </c>
      <c r="AL111" s="71">
        <f t="shared" si="88"/>
        <v>0.33899848052208531</v>
      </c>
      <c r="AM111" s="71">
        <f t="shared" si="95"/>
        <v>0</v>
      </c>
      <c r="AN111" s="188">
        <f t="shared" si="89"/>
        <v>0.27774599830076468</v>
      </c>
      <c r="AO111" s="74">
        <f t="shared" si="72"/>
        <v>0.61674447882285</v>
      </c>
      <c r="AP111" s="73">
        <f t="shared" si="90"/>
        <v>0.61828700140675785</v>
      </c>
      <c r="AQ111" s="206">
        <f t="shared" si="91"/>
        <v>0.9480400688236954</v>
      </c>
      <c r="AR111" s="206">
        <f t="shared" si="92"/>
        <v>3.0218089420955812</v>
      </c>
      <c r="AS111" s="71">
        <f t="shared" si="93"/>
        <v>0.12000000000000001</v>
      </c>
      <c r="AT111" s="74">
        <f t="shared" si="94"/>
        <v>3.6299999999999995E-5</v>
      </c>
      <c r="AU111" s="73">
        <f t="shared" si="73"/>
        <v>13.328442167300256</v>
      </c>
      <c r="AV111" s="71">
        <f t="shared" si="74"/>
        <v>222.56</v>
      </c>
      <c r="AW111" s="74">
        <f t="shared" si="75"/>
        <v>94.349684094379128</v>
      </c>
    </row>
    <row r="112" spans="17:49" x14ac:dyDescent="0.25">
      <c r="Q112">
        <v>105</v>
      </c>
      <c r="R112" s="73">
        <f t="shared" si="49"/>
        <v>53.5</v>
      </c>
      <c r="S112" s="71">
        <f t="shared" si="79"/>
        <v>4.2</v>
      </c>
      <c r="T112" s="71">
        <f t="shared" si="51"/>
        <v>11</v>
      </c>
      <c r="U112" s="74">
        <f t="shared" si="80"/>
        <v>20.427272727272729</v>
      </c>
      <c r="V112" s="73">
        <f>IF(Variable_Management!$B$20=3,2,IF((S112*R112/T112)&lt;((T112*(1-(T112/R112)))/(2*Lm*Fsw)),1,2))</f>
        <v>2</v>
      </c>
      <c r="W112" s="71">
        <f t="shared" si="81"/>
        <v>0.79439252336448596</v>
      </c>
      <c r="X112" s="74">
        <f t="shared" si="82"/>
        <v>0.20560747663551404</v>
      </c>
      <c r="Y112" s="73">
        <f t="shared" si="83"/>
        <v>5.8255451713395638</v>
      </c>
      <c r="Z112" s="71">
        <f t="shared" si="77"/>
        <v>23.340045312942511</v>
      </c>
      <c r="AA112" s="71">
        <f t="shared" si="78"/>
        <v>20.496379008327057</v>
      </c>
      <c r="AB112" s="71">
        <v>0</v>
      </c>
      <c r="AC112" s="71">
        <f t="shared" si="84"/>
        <v>0.96623357064187709</v>
      </c>
      <c r="AD112" s="74">
        <f t="shared" si="67"/>
        <v>0.96623357064187709</v>
      </c>
      <c r="AE112" s="73">
        <f t="shared" si="76"/>
        <v>16.22727272727273</v>
      </c>
      <c r="AF112" s="71">
        <f t="shared" si="68"/>
        <v>18.26815623763024</v>
      </c>
      <c r="AG112" s="71">
        <f t="shared" si="85"/>
        <v>1.3349021292898746</v>
      </c>
      <c r="AH112" s="71">
        <f t="shared" si="86"/>
        <v>5.8009657435608908</v>
      </c>
      <c r="AI112" s="74">
        <f t="shared" si="69"/>
        <v>7.1358678728507652</v>
      </c>
      <c r="AJ112" s="73">
        <f t="shared" si="70"/>
        <v>4.2000000000000011</v>
      </c>
      <c r="AK112" s="71">
        <f t="shared" si="87"/>
        <v>9.2938700297842178</v>
      </c>
      <c r="AL112" s="71">
        <f t="shared" si="88"/>
        <v>0.3455040805220852</v>
      </c>
      <c r="AM112" s="71">
        <f t="shared" si="95"/>
        <v>0</v>
      </c>
      <c r="AN112" s="188">
        <f t="shared" si="89"/>
        <v>0.28008054375531016</v>
      </c>
      <c r="AO112" s="74">
        <f t="shared" si="72"/>
        <v>0.62558462427739536</v>
      </c>
      <c r="AP112" s="73">
        <f t="shared" si="90"/>
        <v>0.63015232867948512</v>
      </c>
      <c r="AQ112" s="206">
        <f t="shared" si="91"/>
        <v>0.96623357064187709</v>
      </c>
      <c r="AR112" s="206">
        <f t="shared" si="92"/>
        <v>3.0218089420955812</v>
      </c>
      <c r="AS112" s="71">
        <f t="shared" si="93"/>
        <v>0.12000000000000001</v>
      </c>
      <c r="AT112" s="74">
        <f t="shared" si="94"/>
        <v>3.6299999999999995E-5</v>
      </c>
      <c r="AU112" s="73">
        <f t="shared" si="73"/>
        <v>13.46591720918698</v>
      </c>
      <c r="AV112" s="71">
        <f t="shared" si="74"/>
        <v>224.70000000000002</v>
      </c>
      <c r="AW112" s="74">
        <f t="shared" si="75"/>
        <v>94.345993176950032</v>
      </c>
    </row>
    <row r="113" spans="17:49" x14ac:dyDescent="0.25">
      <c r="Q113">
        <v>106</v>
      </c>
      <c r="R113" s="73">
        <f t="shared" si="49"/>
        <v>53.5</v>
      </c>
      <c r="S113" s="71">
        <f t="shared" si="79"/>
        <v>4.24</v>
      </c>
      <c r="T113" s="71">
        <f t="shared" si="51"/>
        <v>11</v>
      </c>
      <c r="U113" s="74">
        <f t="shared" si="80"/>
        <v>20.621818181818181</v>
      </c>
      <c r="V113" s="73">
        <f>IF(Variable_Management!$B$20=3,2,IF((S113*R113/T113)&lt;((T113*(1-(T113/R113)))/(2*Lm*Fsw)),1,2))</f>
        <v>2</v>
      </c>
      <c r="W113" s="71">
        <f t="shared" si="81"/>
        <v>0.79439252336448596</v>
      </c>
      <c r="X113" s="74">
        <f t="shared" si="82"/>
        <v>0.20560747663551404</v>
      </c>
      <c r="Y113" s="73">
        <f t="shared" si="83"/>
        <v>5.8255451713395638</v>
      </c>
      <c r="Z113" s="71">
        <f t="shared" si="77"/>
        <v>23.534590767487963</v>
      </c>
      <c r="AA113" s="71">
        <f t="shared" si="78"/>
        <v>20.690274684077462</v>
      </c>
      <c r="AB113" s="71">
        <v>0</v>
      </c>
      <c r="AC113" s="71">
        <f t="shared" si="84"/>
        <v>0.98460117295592642</v>
      </c>
      <c r="AD113" s="74">
        <f t="shared" si="67"/>
        <v>0.98460117295592642</v>
      </c>
      <c r="AE113" s="73">
        <f t="shared" si="76"/>
        <v>16.381818181818179</v>
      </c>
      <c r="AF113" s="71">
        <f t="shared" si="68"/>
        <v>18.440972933543708</v>
      </c>
      <c r="AG113" s="71">
        <f t="shared" si="85"/>
        <v>1.3602779309427666</v>
      </c>
      <c r="AH113" s="71">
        <f t="shared" si="86"/>
        <v>5.8562130363567082</v>
      </c>
      <c r="AI113" s="74">
        <f t="shared" si="69"/>
        <v>7.2164909672994746</v>
      </c>
      <c r="AJ113" s="73">
        <f t="shared" si="70"/>
        <v>4.24</v>
      </c>
      <c r="AK113" s="71">
        <f t="shared" si="87"/>
        <v>9.3817900086755799</v>
      </c>
      <c r="AL113" s="71">
        <f t="shared" si="88"/>
        <v>0.35207193506753975</v>
      </c>
      <c r="AM113" s="71">
        <f t="shared" si="95"/>
        <v>0</v>
      </c>
      <c r="AN113" s="188">
        <f t="shared" si="89"/>
        <v>0.28241508920985553</v>
      </c>
      <c r="AO113" s="74">
        <f t="shared" si="72"/>
        <v>0.63448702427739523</v>
      </c>
      <c r="AP113" s="73">
        <f t="shared" si="90"/>
        <v>0.64213119975386512</v>
      </c>
      <c r="AQ113" s="206">
        <f t="shared" si="91"/>
        <v>0.98460117295592642</v>
      </c>
      <c r="AR113" s="206">
        <f t="shared" si="92"/>
        <v>3.0218089420955812</v>
      </c>
      <c r="AS113" s="71">
        <f t="shared" si="93"/>
        <v>0.12000000000000001</v>
      </c>
      <c r="AT113" s="74">
        <f t="shared" si="94"/>
        <v>3.6299999999999995E-5</v>
      </c>
      <c r="AU113" s="73">
        <f t="shared" si="73"/>
        <v>13.604156779338169</v>
      </c>
      <c r="AV113" s="71">
        <f t="shared" si="74"/>
        <v>226.84</v>
      </c>
      <c r="AW113" s="74">
        <f t="shared" si="75"/>
        <v>94.342072204390035</v>
      </c>
    </row>
    <row r="114" spans="17:49" x14ac:dyDescent="0.25">
      <c r="Q114">
        <v>107</v>
      </c>
      <c r="R114" s="73">
        <f t="shared" si="49"/>
        <v>53.5</v>
      </c>
      <c r="S114" s="71">
        <f t="shared" si="79"/>
        <v>4.28</v>
      </c>
      <c r="T114" s="71">
        <f t="shared" si="51"/>
        <v>11</v>
      </c>
      <c r="U114" s="74">
        <f t="shared" si="80"/>
        <v>20.816363636363636</v>
      </c>
      <c r="V114" s="73">
        <f>IF(Variable_Management!$B$20=3,2,IF((S114*R114/T114)&lt;((T114*(1-(T114/R114)))/(2*Lm*Fsw)),1,2))</f>
        <v>2</v>
      </c>
      <c r="W114" s="71">
        <f t="shared" si="81"/>
        <v>0.79439252336448596</v>
      </c>
      <c r="X114" s="74">
        <f t="shared" si="82"/>
        <v>0.20560747663551404</v>
      </c>
      <c r="Y114" s="73">
        <f t="shared" si="83"/>
        <v>5.8255451713395638</v>
      </c>
      <c r="Z114" s="71">
        <f t="shared" si="77"/>
        <v>23.729136222033418</v>
      </c>
      <c r="AA114" s="71">
        <f t="shared" si="78"/>
        <v>20.884182445571867</v>
      </c>
      <c r="AB114" s="71">
        <v>0</v>
      </c>
      <c r="AC114" s="71">
        <f t="shared" si="84"/>
        <v>1.0031428757658438</v>
      </c>
      <c r="AD114" s="74">
        <f t="shared" si="67"/>
        <v>1.0031428757658438</v>
      </c>
      <c r="AE114" s="73">
        <f t="shared" si="76"/>
        <v>16.536363636363635</v>
      </c>
      <c r="AF114" s="71">
        <f t="shared" si="68"/>
        <v>18.61380040132374</v>
      </c>
      <c r="AG114" s="71">
        <f t="shared" si="85"/>
        <v>1.3858942615212793</v>
      </c>
      <c r="AH114" s="71">
        <f t="shared" si="86"/>
        <v>5.9114603291525256</v>
      </c>
      <c r="AI114" s="74">
        <f t="shared" si="69"/>
        <v>7.2973545906738053</v>
      </c>
      <c r="AJ114" s="73">
        <f t="shared" si="70"/>
        <v>4.28</v>
      </c>
      <c r="AK114" s="71">
        <f t="shared" si="87"/>
        <v>9.4697154677219419</v>
      </c>
      <c r="AL114" s="71">
        <f t="shared" si="88"/>
        <v>0.35870204415844881</v>
      </c>
      <c r="AM114" s="71">
        <f t="shared" si="95"/>
        <v>0</v>
      </c>
      <c r="AN114" s="188">
        <f t="shared" si="89"/>
        <v>0.28474963466440101</v>
      </c>
      <c r="AO114" s="74">
        <f t="shared" si="72"/>
        <v>0.64345167882284982</v>
      </c>
      <c r="AP114" s="73">
        <f t="shared" si="90"/>
        <v>0.6542236146298982</v>
      </c>
      <c r="AQ114" s="206">
        <f t="shared" si="91"/>
        <v>1.0031428757658438</v>
      </c>
      <c r="AR114" s="206">
        <f t="shared" si="92"/>
        <v>3.0218089420955812</v>
      </c>
      <c r="AS114" s="71">
        <f t="shared" si="93"/>
        <v>0.12000000000000001</v>
      </c>
      <c r="AT114" s="74">
        <f t="shared" si="94"/>
        <v>3.6299999999999995E-5</v>
      </c>
      <c r="AU114" s="73">
        <f t="shared" si="73"/>
        <v>13.743160877753823</v>
      </c>
      <c r="AV114" s="71">
        <f t="shared" si="74"/>
        <v>228.98000000000002</v>
      </c>
      <c r="AW114" s="74">
        <f t="shared" si="75"/>
        <v>94.337927691755993</v>
      </c>
    </row>
    <row r="115" spans="17:49" x14ac:dyDescent="0.25">
      <c r="Q115">
        <v>108</v>
      </c>
      <c r="R115" s="73">
        <f t="shared" si="49"/>
        <v>53.5</v>
      </c>
      <c r="S115" s="71">
        <f t="shared" si="79"/>
        <v>4.32</v>
      </c>
      <c r="T115" s="71">
        <f t="shared" si="51"/>
        <v>11</v>
      </c>
      <c r="U115" s="74">
        <f t="shared" si="80"/>
        <v>21.010909090909092</v>
      </c>
      <c r="V115" s="73">
        <f>IF(Variable_Management!$B$20=3,2,IF((S115*R115/T115)&lt;((T115*(1-(T115/R115)))/(2*Lm*Fsw)),1,2))</f>
        <v>2</v>
      </c>
      <c r="W115" s="71">
        <f t="shared" si="81"/>
        <v>0.79439252336448596</v>
      </c>
      <c r="X115" s="74">
        <f t="shared" si="82"/>
        <v>0.20560747663551404</v>
      </c>
      <c r="Y115" s="73">
        <f t="shared" si="83"/>
        <v>5.8255451713395638</v>
      </c>
      <c r="Z115" s="71">
        <f t="shared" si="77"/>
        <v>23.923681676578873</v>
      </c>
      <c r="AA115" s="71">
        <f t="shared" si="78"/>
        <v>21.078101959262273</v>
      </c>
      <c r="AB115" s="71">
        <v>0</v>
      </c>
      <c r="AC115" s="71">
        <f t="shared" si="84"/>
        <v>1.0218586790716291</v>
      </c>
      <c r="AD115" s="74">
        <f t="shared" si="67"/>
        <v>1.0218586790716291</v>
      </c>
      <c r="AE115" s="73">
        <f t="shared" si="76"/>
        <v>16.690909090909091</v>
      </c>
      <c r="AF115" s="71">
        <f t="shared" si="68"/>
        <v>18.786638343683336</v>
      </c>
      <c r="AG115" s="71">
        <f t="shared" si="85"/>
        <v>1.4117511210254117</v>
      </c>
      <c r="AH115" s="71">
        <f t="shared" si="86"/>
        <v>5.9667076219483448</v>
      </c>
      <c r="AI115" s="74">
        <f t="shared" si="69"/>
        <v>7.3784587429737565</v>
      </c>
      <c r="AJ115" s="73">
        <f t="shared" si="70"/>
        <v>4.32</v>
      </c>
      <c r="AK115" s="71">
        <f t="shared" si="87"/>
        <v>9.557646255679435</v>
      </c>
      <c r="AL115" s="71">
        <f t="shared" si="88"/>
        <v>0.36539440779481247</v>
      </c>
      <c r="AM115" s="71">
        <f t="shared" si="95"/>
        <v>0</v>
      </c>
      <c r="AN115" s="188">
        <f t="shared" si="89"/>
        <v>0.28708418011894649</v>
      </c>
      <c r="AO115" s="74">
        <f t="shared" si="72"/>
        <v>0.6524785879137589</v>
      </c>
      <c r="AP115" s="73">
        <f t="shared" si="90"/>
        <v>0.66642957330758412</v>
      </c>
      <c r="AQ115" s="206">
        <f t="shared" si="91"/>
        <v>1.0218586790716291</v>
      </c>
      <c r="AR115" s="206">
        <f t="shared" si="92"/>
        <v>3.0218089420955812</v>
      </c>
      <c r="AS115" s="71">
        <f t="shared" si="93"/>
        <v>0.12000000000000001</v>
      </c>
      <c r="AT115" s="74">
        <f t="shared" si="94"/>
        <v>3.6299999999999995E-5</v>
      </c>
      <c r="AU115" s="73">
        <f t="shared" si="73"/>
        <v>13.882929504433939</v>
      </c>
      <c r="AV115" s="71">
        <f t="shared" si="74"/>
        <v>231.12</v>
      </c>
      <c r="AW115" s="74">
        <f t="shared" si="75"/>
        <v>94.33356591591992</v>
      </c>
    </row>
    <row r="116" spans="17:49" x14ac:dyDescent="0.25">
      <c r="Q116">
        <v>109</v>
      </c>
      <c r="R116" s="73">
        <f t="shared" si="49"/>
        <v>53.5</v>
      </c>
      <c r="S116" s="71">
        <f t="shared" si="79"/>
        <v>4.3600000000000003</v>
      </c>
      <c r="T116" s="71">
        <f t="shared" si="51"/>
        <v>11</v>
      </c>
      <c r="U116" s="74">
        <f t="shared" si="80"/>
        <v>21.205454545454547</v>
      </c>
      <c r="V116" s="73">
        <f>IF(Variable_Management!$B$20=3,2,IF((S116*R116/T116)&lt;((T116*(1-(T116/R116)))/(2*Lm*Fsw)),1,2))</f>
        <v>2</v>
      </c>
      <c r="W116" s="71">
        <f t="shared" si="81"/>
        <v>0.79439252336448596</v>
      </c>
      <c r="X116" s="74">
        <f t="shared" si="82"/>
        <v>0.20560747663551404</v>
      </c>
      <c r="Y116" s="73">
        <f t="shared" si="83"/>
        <v>5.8255451713395638</v>
      </c>
      <c r="Z116" s="71">
        <f t="shared" si="77"/>
        <v>24.118227131124328</v>
      </c>
      <c r="AA116" s="71">
        <f t="shared" si="78"/>
        <v>21.272032903743561</v>
      </c>
      <c r="AB116" s="71">
        <v>0</v>
      </c>
      <c r="AC116" s="71">
        <f t="shared" si="84"/>
        <v>1.0407485828732821</v>
      </c>
      <c r="AD116" s="74">
        <f t="shared" si="67"/>
        <v>1.0407485828732821</v>
      </c>
      <c r="AE116" s="73">
        <f t="shared" si="76"/>
        <v>16.845454545454547</v>
      </c>
      <c r="AF116" s="71">
        <f t="shared" si="68"/>
        <v>18.959486474158286</v>
      </c>
      <c r="AG116" s="71">
        <f t="shared" si="85"/>
        <v>1.4378485094551641</v>
      </c>
      <c r="AH116" s="71">
        <f t="shared" si="86"/>
        <v>6.0219549147441622</v>
      </c>
      <c r="AI116" s="74">
        <f t="shared" si="69"/>
        <v>7.4598034241993263</v>
      </c>
      <c r="AJ116" s="73">
        <f t="shared" si="70"/>
        <v>4.3600000000000012</v>
      </c>
      <c r="AK116" s="71">
        <f t="shared" si="87"/>
        <v>9.6455822268102445</v>
      </c>
      <c r="AL116" s="71">
        <f t="shared" si="88"/>
        <v>0.37214902597663069</v>
      </c>
      <c r="AM116" s="71">
        <f t="shared" si="95"/>
        <v>0</v>
      </c>
      <c r="AN116" s="188">
        <f t="shared" si="89"/>
        <v>0.28941872557349196</v>
      </c>
      <c r="AO116" s="74">
        <f t="shared" si="72"/>
        <v>0.6615677515501226</v>
      </c>
      <c r="AP116" s="73">
        <f t="shared" si="90"/>
        <v>0.67874907578692312</v>
      </c>
      <c r="AQ116" s="206">
        <f t="shared" si="91"/>
        <v>1.0407485828732821</v>
      </c>
      <c r="AR116" s="206">
        <f t="shared" si="92"/>
        <v>3.0218089420955812</v>
      </c>
      <c r="AS116" s="71">
        <f t="shared" si="93"/>
        <v>0.12000000000000001</v>
      </c>
      <c r="AT116" s="74">
        <f t="shared" si="94"/>
        <v>3.6299999999999995E-5</v>
      </c>
      <c r="AU116" s="73">
        <f t="shared" si="73"/>
        <v>14.023462659378517</v>
      </c>
      <c r="AV116" s="71">
        <f t="shared" si="74"/>
        <v>233.26000000000002</v>
      </c>
      <c r="AW116" s="74">
        <f t="shared" si="75"/>
        <v>94.328992926350608</v>
      </c>
    </row>
    <row r="117" spans="17:49" x14ac:dyDescent="0.25">
      <c r="Q117">
        <v>110</v>
      </c>
      <c r="R117" s="73">
        <f t="shared" si="49"/>
        <v>53.5</v>
      </c>
      <c r="S117" s="71">
        <f t="shared" si="79"/>
        <v>4.4000000000000004</v>
      </c>
      <c r="T117" s="71">
        <f t="shared" si="51"/>
        <v>11</v>
      </c>
      <c r="U117" s="74">
        <f t="shared" si="80"/>
        <v>21.400000000000002</v>
      </c>
      <c r="V117" s="73">
        <f>IF(Variable_Management!$B$20=3,2,IF((S117*R117/T117)&lt;((T117*(1-(T117/R117)))/(2*Lm*Fsw)),1,2))</f>
        <v>2</v>
      </c>
      <c r="W117" s="71">
        <f t="shared" si="81"/>
        <v>0.79439252336448596</v>
      </c>
      <c r="X117" s="74">
        <f t="shared" si="82"/>
        <v>0.20560747663551404</v>
      </c>
      <c r="Y117" s="73">
        <f t="shared" si="83"/>
        <v>5.8255451713395638</v>
      </c>
      <c r="Z117" s="71">
        <f t="shared" si="77"/>
        <v>24.312772585669784</v>
      </c>
      <c r="AA117" s="71">
        <f t="shared" si="78"/>
        <v>21.46597496920673</v>
      </c>
      <c r="AB117" s="71">
        <v>0</v>
      </c>
      <c r="AC117" s="71">
        <f t="shared" si="84"/>
        <v>1.0598125871708026</v>
      </c>
      <c r="AD117" s="74">
        <f t="shared" si="67"/>
        <v>1.0598125871708026</v>
      </c>
      <c r="AE117" s="73">
        <f t="shared" si="76"/>
        <v>17</v>
      </c>
      <c r="AF117" s="71">
        <f t="shared" si="68"/>
        <v>19.13234451661986</v>
      </c>
      <c r="AG117" s="71">
        <f t="shared" si="85"/>
        <v>1.464186426810536</v>
      </c>
      <c r="AH117" s="71">
        <f t="shared" si="86"/>
        <v>6.0772022075399805</v>
      </c>
      <c r="AI117" s="74">
        <f t="shared" si="69"/>
        <v>7.5413886343505165</v>
      </c>
      <c r="AJ117" s="73">
        <f t="shared" si="70"/>
        <v>4.4000000000000012</v>
      </c>
      <c r="AK117" s="71">
        <f t="shared" si="87"/>
        <v>9.7335232406347014</v>
      </c>
      <c r="AL117" s="71">
        <f t="shared" si="88"/>
        <v>0.37896589870390346</v>
      </c>
      <c r="AM117" s="71">
        <f t="shared" si="95"/>
        <v>0</v>
      </c>
      <c r="AN117" s="188">
        <f t="shared" si="89"/>
        <v>0.29175327102803739</v>
      </c>
      <c r="AO117" s="74">
        <f t="shared" si="72"/>
        <v>0.67071916973194079</v>
      </c>
      <c r="AP117" s="73">
        <f t="shared" si="90"/>
        <v>0.69118212206791485</v>
      </c>
      <c r="AQ117" s="206">
        <f t="shared" si="91"/>
        <v>1.0598125871708026</v>
      </c>
      <c r="AR117" s="206">
        <f t="shared" si="92"/>
        <v>3.0218089420955812</v>
      </c>
      <c r="AS117" s="71">
        <f t="shared" si="93"/>
        <v>0.12000000000000001</v>
      </c>
      <c r="AT117" s="74">
        <f t="shared" si="94"/>
        <v>3.6299999999999995E-5</v>
      </c>
      <c r="AU117" s="73">
        <f t="shared" si="73"/>
        <v>14.164760342587559</v>
      </c>
      <c r="AV117" s="71">
        <f t="shared" si="74"/>
        <v>235.4</v>
      </c>
      <c r="AW117" s="74">
        <f t="shared" si="75"/>
        <v>94.32421455531501</v>
      </c>
    </row>
    <row r="118" spans="17:49" x14ac:dyDescent="0.25">
      <c r="Q118">
        <v>111</v>
      </c>
      <c r="R118" s="73">
        <f t="shared" si="49"/>
        <v>53.5</v>
      </c>
      <c r="S118" s="71">
        <f t="shared" si="79"/>
        <v>4.4400000000000004</v>
      </c>
      <c r="T118" s="71">
        <f t="shared" si="51"/>
        <v>11</v>
      </c>
      <c r="U118" s="74">
        <f t="shared" si="80"/>
        <v>21.594545454545457</v>
      </c>
      <c r="V118" s="73">
        <f>IF(Variable_Management!$B$20=3,2,IF((S118*R118/T118)&lt;((T118*(1-(T118/R118)))/(2*Lm*Fsw)),1,2))</f>
        <v>2</v>
      </c>
      <c r="W118" s="71">
        <f t="shared" si="81"/>
        <v>0.79439252336448596</v>
      </c>
      <c r="X118" s="74">
        <f t="shared" si="82"/>
        <v>0.20560747663551404</v>
      </c>
      <c r="Y118" s="73">
        <f t="shared" si="83"/>
        <v>5.8255451713395638</v>
      </c>
      <c r="Z118" s="71">
        <f t="shared" si="77"/>
        <v>24.507318040215239</v>
      </c>
      <c r="AA118" s="71">
        <f t="shared" si="78"/>
        <v>21.659927856921399</v>
      </c>
      <c r="AB118" s="71">
        <v>0</v>
      </c>
      <c r="AC118" s="71">
        <f t="shared" si="84"/>
        <v>1.0790506919641911</v>
      </c>
      <c r="AD118" s="74">
        <f t="shared" si="67"/>
        <v>1.0790506919641911</v>
      </c>
      <c r="AE118" s="73">
        <f t="shared" si="76"/>
        <v>17.154545454545456</v>
      </c>
      <c r="AF118" s="71">
        <f t="shared" si="68"/>
        <v>19.305212204813547</v>
      </c>
      <c r="AG118" s="71">
        <f t="shared" si="85"/>
        <v>1.4907648730915277</v>
      </c>
      <c r="AH118" s="71">
        <f t="shared" si="86"/>
        <v>6.1324495003357988</v>
      </c>
      <c r="AI118" s="74">
        <f t="shared" si="69"/>
        <v>7.6232143734273263</v>
      </c>
      <c r="AJ118" s="73">
        <f t="shared" si="70"/>
        <v>4.4400000000000013</v>
      </c>
      <c r="AK118" s="71">
        <f t="shared" si="87"/>
        <v>9.8214691616966192</v>
      </c>
      <c r="AL118" s="71">
        <f t="shared" si="88"/>
        <v>0.38584502597663078</v>
      </c>
      <c r="AM118" s="71">
        <f t="shared" si="95"/>
        <v>0</v>
      </c>
      <c r="AN118" s="188">
        <f t="shared" si="89"/>
        <v>0.29408781648258286</v>
      </c>
      <c r="AO118" s="74">
        <f t="shared" si="72"/>
        <v>0.6799328424592137</v>
      </c>
      <c r="AP118" s="73">
        <f t="shared" si="90"/>
        <v>0.70372871215055943</v>
      </c>
      <c r="AQ118" s="206">
        <f t="shared" si="91"/>
        <v>1.0790506919641911</v>
      </c>
      <c r="AR118" s="206">
        <f t="shared" si="92"/>
        <v>3.0218089420955812</v>
      </c>
      <c r="AS118" s="71">
        <f t="shared" si="93"/>
        <v>0.12000000000000001</v>
      </c>
      <c r="AT118" s="74">
        <f t="shared" si="94"/>
        <v>3.6299999999999995E-5</v>
      </c>
      <c r="AU118" s="73">
        <f t="shared" si="73"/>
        <v>14.306822554061064</v>
      </c>
      <c r="AV118" s="71">
        <f t="shared" si="74"/>
        <v>237.54000000000002</v>
      </c>
      <c r="AW118" s="74">
        <f t="shared" si="75"/>
        <v>94.319236427535245</v>
      </c>
    </row>
    <row r="119" spans="17:49" x14ac:dyDescent="0.25">
      <c r="Q119">
        <v>112</v>
      </c>
      <c r="R119" s="73">
        <f t="shared" si="49"/>
        <v>53.5</v>
      </c>
      <c r="S119" s="71">
        <f t="shared" si="79"/>
        <v>4.4800000000000004</v>
      </c>
      <c r="T119" s="71">
        <f t="shared" si="51"/>
        <v>11</v>
      </c>
      <c r="U119" s="74">
        <f t="shared" si="80"/>
        <v>21.789090909090913</v>
      </c>
      <c r="V119" s="73">
        <f>IF(Variable_Management!$B$20=3,2,IF((S119*R119/T119)&lt;((T119*(1-(T119/R119)))/(2*Lm*Fsw)),1,2))</f>
        <v>2</v>
      </c>
      <c r="W119" s="71">
        <f t="shared" si="81"/>
        <v>0.79439252336448596</v>
      </c>
      <c r="X119" s="74">
        <f t="shared" si="82"/>
        <v>0.20560747663551404</v>
      </c>
      <c r="Y119" s="73">
        <f t="shared" si="83"/>
        <v>5.8255451713395638</v>
      </c>
      <c r="Z119" s="71">
        <f t="shared" si="77"/>
        <v>24.701863494760694</v>
      </c>
      <c r="AA119" s="71">
        <f t="shared" si="78"/>
        <v>21.853891278745714</v>
      </c>
      <c r="AB119" s="71">
        <v>0</v>
      </c>
      <c r="AC119" s="71">
        <f t="shared" si="84"/>
        <v>1.0984628972534474</v>
      </c>
      <c r="AD119" s="74">
        <f t="shared" si="67"/>
        <v>1.0984628972534474</v>
      </c>
      <c r="AE119" s="73">
        <f t="shared" si="76"/>
        <v>17.309090909090912</v>
      </c>
      <c r="AF119" s="71">
        <f t="shared" si="68"/>
        <v>19.478089281922262</v>
      </c>
      <c r="AG119" s="71">
        <f t="shared" si="85"/>
        <v>1.5175838482981396</v>
      </c>
      <c r="AH119" s="71">
        <f t="shared" si="86"/>
        <v>6.187696793131618</v>
      </c>
      <c r="AI119" s="74">
        <f t="shared" si="69"/>
        <v>7.7052806414297574</v>
      </c>
      <c r="AJ119" s="73">
        <f t="shared" si="70"/>
        <v>4.4800000000000013</v>
      </c>
      <c r="AK119" s="71">
        <f t="shared" si="87"/>
        <v>9.9094198593410692</v>
      </c>
      <c r="AL119" s="71">
        <f t="shared" si="88"/>
        <v>0.39278640779481272</v>
      </c>
      <c r="AM119" s="71">
        <f t="shared" si="95"/>
        <v>0</v>
      </c>
      <c r="AN119" s="188">
        <f t="shared" si="89"/>
        <v>0.29642236193712834</v>
      </c>
      <c r="AO119" s="74">
        <f t="shared" si="72"/>
        <v>0.68920876973194112</v>
      </c>
      <c r="AP119" s="73">
        <f t="shared" si="90"/>
        <v>0.71638884603485697</v>
      </c>
      <c r="AQ119" s="206">
        <f t="shared" si="91"/>
        <v>1.0984628972534474</v>
      </c>
      <c r="AR119" s="206">
        <f t="shared" si="92"/>
        <v>3.0218089420955812</v>
      </c>
      <c r="AS119" s="71">
        <f t="shared" si="93"/>
        <v>0.12000000000000001</v>
      </c>
      <c r="AT119" s="74">
        <f t="shared" si="94"/>
        <v>3.6299999999999995E-5</v>
      </c>
      <c r="AU119" s="73">
        <f t="shared" si="73"/>
        <v>14.44964929379903</v>
      </c>
      <c r="AV119" s="71">
        <f t="shared" si="74"/>
        <v>239.68000000000004</v>
      </c>
      <c r="AW119" s="74">
        <f t="shared" si="75"/>
        <v>94.314063969334867</v>
      </c>
    </row>
    <row r="120" spans="17:49" x14ac:dyDescent="0.25">
      <c r="Q120">
        <v>113</v>
      </c>
      <c r="R120" s="73">
        <f t="shared" si="49"/>
        <v>53.5</v>
      </c>
      <c r="S120" s="71">
        <f t="shared" si="79"/>
        <v>4.5200000000000005</v>
      </c>
      <c r="T120" s="71">
        <f t="shared" si="51"/>
        <v>11</v>
      </c>
      <c r="U120" s="74">
        <f t="shared" si="80"/>
        <v>21.983636363636364</v>
      </c>
      <c r="V120" s="73">
        <f>IF(Variable_Management!$B$20=3,2,IF((S120*R120/T120)&lt;((T120*(1-(T120/R120)))/(2*Lm*Fsw)),1,2))</f>
        <v>2</v>
      </c>
      <c r="W120" s="71">
        <f t="shared" si="81"/>
        <v>0.79439252336448596</v>
      </c>
      <c r="X120" s="74">
        <f t="shared" si="82"/>
        <v>0.20560747663551404</v>
      </c>
      <c r="Y120" s="73">
        <f t="shared" si="83"/>
        <v>5.8255451713395638</v>
      </c>
      <c r="Z120" s="71">
        <f t="shared" si="77"/>
        <v>24.896408949306146</v>
      </c>
      <c r="AA120" s="71">
        <f t="shared" si="78"/>
        <v>22.047864956662014</v>
      </c>
      <c r="AB120" s="71">
        <v>0</v>
      </c>
      <c r="AC120" s="71">
        <f t="shared" si="84"/>
        <v>1.1180492030385711</v>
      </c>
      <c r="AD120" s="74">
        <f t="shared" si="67"/>
        <v>1.1180492030385711</v>
      </c>
      <c r="AE120" s="73">
        <f t="shared" si="76"/>
        <v>17.463636363636365</v>
      </c>
      <c r="AF120" s="71">
        <f t="shared" si="68"/>
        <v>19.65097550015247</v>
      </c>
      <c r="AG120" s="71">
        <f t="shared" si="85"/>
        <v>1.5446433524303704</v>
      </c>
      <c r="AH120" s="71">
        <f t="shared" si="86"/>
        <v>6.2429440859274345</v>
      </c>
      <c r="AI120" s="74">
        <f t="shared" si="69"/>
        <v>7.7875874383578054</v>
      </c>
      <c r="AJ120" s="73">
        <f t="shared" si="70"/>
        <v>4.5200000000000005</v>
      </c>
      <c r="AK120" s="71">
        <f t="shared" si="87"/>
        <v>9.9973752075038291</v>
      </c>
      <c r="AL120" s="71">
        <f t="shared" si="88"/>
        <v>0.39979004415844893</v>
      </c>
      <c r="AM120" s="71">
        <f t="shared" si="95"/>
        <v>0</v>
      </c>
      <c r="AN120" s="188">
        <f t="shared" si="89"/>
        <v>0.29875690739167376</v>
      </c>
      <c r="AO120" s="74">
        <f t="shared" si="72"/>
        <v>0.6985469515501227</v>
      </c>
      <c r="AP120" s="73">
        <f t="shared" si="90"/>
        <v>0.72916252372080737</v>
      </c>
      <c r="AQ120" s="206">
        <f t="shared" si="91"/>
        <v>1.1180492030385711</v>
      </c>
      <c r="AR120" s="206">
        <f t="shared" si="92"/>
        <v>3.0218089420955812</v>
      </c>
      <c r="AS120" s="71">
        <f t="shared" si="93"/>
        <v>0.12000000000000001</v>
      </c>
      <c r="AT120" s="74">
        <f t="shared" si="94"/>
        <v>3.6299999999999995E-5</v>
      </c>
      <c r="AU120" s="73">
        <f t="shared" si="73"/>
        <v>14.593240561801458</v>
      </c>
      <c r="AV120" s="71">
        <f t="shared" si="74"/>
        <v>241.82000000000002</v>
      </c>
      <c r="AW120" s="74">
        <f t="shared" si="75"/>
        <v>94.308702417305881</v>
      </c>
    </row>
    <row r="121" spans="17:49" x14ac:dyDescent="0.25">
      <c r="Q121">
        <v>114</v>
      </c>
      <c r="R121" s="73">
        <f t="shared" si="49"/>
        <v>53.5</v>
      </c>
      <c r="S121" s="71">
        <f t="shared" si="79"/>
        <v>4.5600000000000005</v>
      </c>
      <c r="T121" s="71">
        <f t="shared" si="51"/>
        <v>11</v>
      </c>
      <c r="U121" s="74">
        <f t="shared" si="80"/>
        <v>22.178181818181823</v>
      </c>
      <c r="V121" s="73">
        <f>IF(Variable_Management!$B$20=3,2,IF((S121*R121/T121)&lt;((T121*(1-(T121/R121)))/(2*Lm*Fsw)),1,2))</f>
        <v>2</v>
      </c>
      <c r="W121" s="71">
        <f t="shared" si="81"/>
        <v>0.79439252336448596</v>
      </c>
      <c r="X121" s="74">
        <f t="shared" si="82"/>
        <v>0.20560747663551404</v>
      </c>
      <c r="Y121" s="73">
        <f t="shared" si="83"/>
        <v>5.8255451713395638</v>
      </c>
      <c r="Z121" s="71">
        <f t="shared" si="77"/>
        <v>25.090954403851605</v>
      </c>
      <c r="AA121" s="71">
        <f t="shared" si="78"/>
        <v>22.24184862233669</v>
      </c>
      <c r="AB121" s="71">
        <v>0</v>
      </c>
      <c r="AC121" s="71">
        <f t="shared" si="84"/>
        <v>1.1378096093195631</v>
      </c>
      <c r="AD121" s="74">
        <f t="shared" si="67"/>
        <v>1.1378096093195631</v>
      </c>
      <c r="AE121" s="73">
        <f t="shared" si="76"/>
        <v>17.618181818181821</v>
      </c>
      <c r="AF121" s="71">
        <f t="shared" si="68"/>
        <v>19.823870620341921</v>
      </c>
      <c r="AG121" s="71">
        <f t="shared" si="85"/>
        <v>1.5719433854882223</v>
      </c>
      <c r="AH121" s="71">
        <f t="shared" si="86"/>
        <v>6.2981913787232537</v>
      </c>
      <c r="AI121" s="74">
        <f t="shared" si="69"/>
        <v>7.8701347642114765</v>
      </c>
      <c r="AJ121" s="73">
        <f t="shared" si="70"/>
        <v>4.5600000000000014</v>
      </c>
      <c r="AK121" s="71">
        <f t="shared" si="87"/>
        <v>10.085335084511817</v>
      </c>
      <c r="AL121" s="71">
        <f t="shared" si="88"/>
        <v>0.40685593506753992</v>
      </c>
      <c r="AM121" s="71">
        <f t="shared" si="95"/>
        <v>0</v>
      </c>
      <c r="AN121" s="188">
        <f t="shared" si="89"/>
        <v>0.30109145284621924</v>
      </c>
      <c r="AO121" s="74">
        <f t="shared" si="72"/>
        <v>0.70794738791375922</v>
      </c>
      <c r="AP121" s="73">
        <f t="shared" si="90"/>
        <v>0.74204974520841083</v>
      </c>
      <c r="AQ121" s="206">
        <f t="shared" si="91"/>
        <v>1.1378096093195631</v>
      </c>
      <c r="AR121" s="206">
        <f t="shared" si="92"/>
        <v>3.0218089420955812</v>
      </c>
      <c r="AS121" s="71">
        <f t="shared" si="93"/>
        <v>0.12000000000000001</v>
      </c>
      <c r="AT121" s="74">
        <f t="shared" si="94"/>
        <v>3.6299999999999995E-5</v>
      </c>
      <c r="AU121" s="73">
        <f t="shared" si="73"/>
        <v>14.737596358068352</v>
      </c>
      <c r="AV121" s="71">
        <f t="shared" si="74"/>
        <v>243.96000000000004</v>
      </c>
      <c r="AW121" s="74">
        <f t="shared" si="75"/>
        <v>94.303156826525068</v>
      </c>
    </row>
    <row r="122" spans="17:49" x14ac:dyDescent="0.25">
      <c r="Q122">
        <v>115</v>
      </c>
      <c r="R122" s="73">
        <f t="shared" si="49"/>
        <v>53.5</v>
      </c>
      <c r="S122" s="71">
        <f t="shared" si="79"/>
        <v>4.6000000000000005</v>
      </c>
      <c r="T122" s="71">
        <f t="shared" si="51"/>
        <v>11</v>
      </c>
      <c r="U122" s="74">
        <f t="shared" si="80"/>
        <v>22.372727272727275</v>
      </c>
      <c r="V122" s="73">
        <f>IF(Variable_Management!$B$20=3,2,IF((S122*R122/T122)&lt;((T122*(1-(T122/R122)))/(2*Lm*Fsw)),1,2))</f>
        <v>2</v>
      </c>
      <c r="W122" s="71">
        <f t="shared" si="81"/>
        <v>0.79439252336448596</v>
      </c>
      <c r="X122" s="74">
        <f t="shared" si="82"/>
        <v>0.20560747663551404</v>
      </c>
      <c r="Y122" s="73">
        <f t="shared" si="83"/>
        <v>5.8255451713395638</v>
      </c>
      <c r="Z122" s="71">
        <f t="shared" si="77"/>
        <v>25.285499858397056</v>
      </c>
      <c r="AA122" s="71">
        <f t="shared" si="78"/>
        <v>22.43584201670275</v>
      </c>
      <c r="AB122" s="71">
        <v>0</v>
      </c>
      <c r="AC122" s="71">
        <f t="shared" si="84"/>
        <v>1.1577441160964224</v>
      </c>
      <c r="AD122" s="74">
        <f t="shared" si="67"/>
        <v>1.1577441160964224</v>
      </c>
      <c r="AE122" s="73">
        <f t="shared" si="76"/>
        <v>17.772727272727273</v>
      </c>
      <c r="AF122" s="71">
        <f t="shared" si="68"/>
        <v>19.996774411587566</v>
      </c>
      <c r="AG122" s="71">
        <f t="shared" si="85"/>
        <v>1.5994839474716931</v>
      </c>
      <c r="AH122" s="71">
        <f t="shared" si="86"/>
        <v>6.3534386715190712</v>
      </c>
      <c r="AI122" s="74">
        <f t="shared" si="69"/>
        <v>7.9529226189907645</v>
      </c>
      <c r="AJ122" s="73">
        <f t="shared" si="70"/>
        <v>4.6000000000000005</v>
      </c>
      <c r="AK122" s="71">
        <f t="shared" si="87"/>
        <v>10.173299372893796</v>
      </c>
      <c r="AL122" s="71">
        <f t="shared" si="88"/>
        <v>0.41398408052208524</v>
      </c>
      <c r="AM122" s="71">
        <f t="shared" si="95"/>
        <v>0</v>
      </c>
      <c r="AN122" s="188">
        <f t="shared" si="89"/>
        <v>0.30342599830076467</v>
      </c>
      <c r="AO122" s="74">
        <f t="shared" si="72"/>
        <v>0.71741007882284991</v>
      </c>
      <c r="AP122" s="73">
        <f t="shared" si="90"/>
        <v>0.7550505104976668</v>
      </c>
      <c r="AQ122" s="206">
        <f t="shared" si="91"/>
        <v>1.1577441160964224</v>
      </c>
      <c r="AR122" s="206">
        <f t="shared" si="92"/>
        <v>3.0218089420955812</v>
      </c>
      <c r="AS122" s="71">
        <f t="shared" si="93"/>
        <v>0.12000000000000001</v>
      </c>
      <c r="AT122" s="74">
        <f t="shared" si="94"/>
        <v>3.6299999999999995E-5</v>
      </c>
      <c r="AU122" s="73">
        <f t="shared" si="73"/>
        <v>14.882716682599707</v>
      </c>
      <c r="AV122" s="71">
        <f t="shared" si="74"/>
        <v>246.10000000000002</v>
      </c>
      <c r="AW122" s="74">
        <f t="shared" si="75"/>
        <v>94.297432078347285</v>
      </c>
    </row>
    <row r="123" spans="17:49" x14ac:dyDescent="0.25">
      <c r="Q123">
        <v>116</v>
      </c>
      <c r="R123" s="73">
        <f t="shared" si="49"/>
        <v>53.5</v>
      </c>
      <c r="S123" s="71">
        <f t="shared" si="79"/>
        <v>4.6399999999999997</v>
      </c>
      <c r="T123" s="71">
        <f t="shared" si="51"/>
        <v>11</v>
      </c>
      <c r="U123" s="74">
        <f t="shared" si="80"/>
        <v>22.567272727272726</v>
      </c>
      <c r="V123" s="73">
        <f>IF(Variable_Management!$B$20=3,2,IF((S123*R123/T123)&lt;((T123*(1-(T123/R123)))/(2*Lm*Fsw)),1,2))</f>
        <v>2</v>
      </c>
      <c r="W123" s="71">
        <f t="shared" si="81"/>
        <v>0.79439252336448596</v>
      </c>
      <c r="X123" s="74">
        <f t="shared" si="82"/>
        <v>0.20560747663551404</v>
      </c>
      <c r="Y123" s="73">
        <f t="shared" si="83"/>
        <v>5.8255451713395638</v>
      </c>
      <c r="Z123" s="71">
        <f t="shared" si="77"/>
        <v>25.480045312942508</v>
      </c>
      <c r="AA123" s="71">
        <f t="shared" si="78"/>
        <v>22.629844889563806</v>
      </c>
      <c r="AB123" s="71">
        <v>0</v>
      </c>
      <c r="AC123" s="71">
        <f t="shared" si="84"/>
        <v>1.1778527233691491</v>
      </c>
      <c r="AD123" s="74">
        <f t="shared" si="67"/>
        <v>1.1778527233691491</v>
      </c>
      <c r="AE123" s="73">
        <f t="shared" si="76"/>
        <v>17.927272727272726</v>
      </c>
      <c r="AF123" s="71">
        <f t="shared" si="68"/>
        <v>20.169686650892615</v>
      </c>
      <c r="AG123" s="71">
        <f t="shared" si="85"/>
        <v>1.627265038380783</v>
      </c>
      <c r="AH123" s="71">
        <f t="shared" si="86"/>
        <v>6.4086859643148877</v>
      </c>
      <c r="AI123" s="74">
        <f t="shared" si="69"/>
        <v>8.0359510026956702</v>
      </c>
      <c r="AJ123" s="73">
        <f t="shared" si="70"/>
        <v>4.6400000000000006</v>
      </c>
      <c r="AK123" s="71">
        <f t="shared" si="87"/>
        <v>10.261267959200817</v>
      </c>
      <c r="AL123" s="71">
        <f t="shared" si="88"/>
        <v>0.42117448052208517</v>
      </c>
      <c r="AM123" s="71">
        <f t="shared" si="95"/>
        <v>0</v>
      </c>
      <c r="AN123" s="188">
        <f t="shared" si="89"/>
        <v>0.30576054375531009</v>
      </c>
      <c r="AO123" s="74">
        <f t="shared" si="72"/>
        <v>0.72693502427739531</v>
      </c>
      <c r="AP123" s="73">
        <f t="shared" si="90"/>
        <v>0.76816481958857563</v>
      </c>
      <c r="AQ123" s="206">
        <f t="shared" si="91"/>
        <v>1.1778527233691491</v>
      </c>
      <c r="AR123" s="206">
        <f t="shared" si="92"/>
        <v>3.0218089420955812</v>
      </c>
      <c r="AS123" s="71">
        <f t="shared" si="93"/>
        <v>0.12000000000000001</v>
      </c>
      <c r="AT123" s="74">
        <f t="shared" si="94"/>
        <v>3.6299999999999995E-5</v>
      </c>
      <c r="AU123" s="73">
        <f t="shared" si="73"/>
        <v>15.02860153539552</v>
      </c>
      <c r="AV123" s="71">
        <f t="shared" si="74"/>
        <v>248.23999999999998</v>
      </c>
      <c r="AW123" s="74">
        <f t="shared" si="75"/>
        <v>94.291532887800543</v>
      </c>
    </row>
    <row r="124" spans="17:49" x14ac:dyDescent="0.25">
      <c r="Q124">
        <v>117</v>
      </c>
      <c r="R124" s="73">
        <f t="shared" si="49"/>
        <v>53.5</v>
      </c>
      <c r="S124" s="71">
        <f t="shared" si="79"/>
        <v>4.68</v>
      </c>
      <c r="T124" s="71">
        <f t="shared" si="51"/>
        <v>11</v>
      </c>
      <c r="U124" s="74">
        <f t="shared" si="80"/>
        <v>22.761818181818182</v>
      </c>
      <c r="V124" s="73">
        <f>IF(Variable_Management!$B$20=3,2,IF((S124*R124/T124)&lt;((T124*(1-(T124/R124)))/(2*Lm*Fsw)),1,2))</f>
        <v>2</v>
      </c>
      <c r="W124" s="71">
        <f t="shared" si="81"/>
        <v>0.79439252336448596</v>
      </c>
      <c r="X124" s="74">
        <f t="shared" si="82"/>
        <v>0.20560747663551404</v>
      </c>
      <c r="Y124" s="73">
        <f t="shared" si="83"/>
        <v>5.8255451713395638</v>
      </c>
      <c r="Z124" s="71">
        <f t="shared" si="77"/>
        <v>25.674590767487963</v>
      </c>
      <c r="AA124" s="71">
        <f t="shared" si="78"/>
        <v>22.823856999218133</v>
      </c>
      <c r="AB124" s="71">
        <v>0</v>
      </c>
      <c r="AC124" s="71">
        <f t="shared" si="84"/>
        <v>1.1981354311377446</v>
      </c>
      <c r="AD124" s="74">
        <f t="shared" si="67"/>
        <v>1.1981354311377446</v>
      </c>
      <c r="AE124" s="73">
        <f t="shared" si="76"/>
        <v>18.081818181818182</v>
      </c>
      <c r="AF124" s="71">
        <f t="shared" si="68"/>
        <v>20.342607122831467</v>
      </c>
      <c r="AG124" s="71">
        <f t="shared" si="85"/>
        <v>1.6552866582154941</v>
      </c>
      <c r="AH124" s="71">
        <f t="shared" si="86"/>
        <v>6.463933257110706</v>
      </c>
      <c r="AI124" s="74">
        <f t="shared" si="69"/>
        <v>8.1192199153261999</v>
      </c>
      <c r="AJ124" s="73">
        <f t="shared" si="70"/>
        <v>4.6800000000000006</v>
      </c>
      <c r="AK124" s="71">
        <f t="shared" si="87"/>
        <v>10.349240733835741</v>
      </c>
      <c r="AL124" s="71">
        <f t="shared" si="88"/>
        <v>0.42842713506753977</v>
      </c>
      <c r="AM124" s="71">
        <f t="shared" si="95"/>
        <v>0</v>
      </c>
      <c r="AN124" s="188">
        <f t="shared" si="89"/>
        <v>0.30809508920985557</v>
      </c>
      <c r="AO124" s="74">
        <f t="shared" si="72"/>
        <v>0.73652222427739533</v>
      </c>
      <c r="AP124" s="73">
        <f t="shared" si="90"/>
        <v>0.78139267248113786</v>
      </c>
      <c r="AQ124" s="206">
        <f t="shared" si="91"/>
        <v>1.1981354311377446</v>
      </c>
      <c r="AR124" s="206">
        <f t="shared" si="92"/>
        <v>3.0218089420955812</v>
      </c>
      <c r="AS124" s="71">
        <f t="shared" si="93"/>
        <v>0.12000000000000001</v>
      </c>
      <c r="AT124" s="74">
        <f t="shared" si="94"/>
        <v>3.6299999999999995E-5</v>
      </c>
      <c r="AU124" s="73">
        <f t="shared" si="73"/>
        <v>15.175250916455802</v>
      </c>
      <c r="AV124" s="71">
        <f t="shared" si="74"/>
        <v>250.38</v>
      </c>
      <c r="AW124" s="74">
        <f t="shared" si="75"/>
        <v>94.285463810606416</v>
      </c>
    </row>
    <row r="125" spans="17:49" x14ac:dyDescent="0.25">
      <c r="Q125">
        <v>118</v>
      </c>
      <c r="R125" s="73">
        <f t="shared" si="49"/>
        <v>53.5</v>
      </c>
      <c r="S125" s="71">
        <f t="shared" si="79"/>
        <v>4.72</v>
      </c>
      <c r="T125" s="71">
        <f t="shared" si="51"/>
        <v>11</v>
      </c>
      <c r="U125" s="74">
        <f t="shared" si="80"/>
        <v>22.956363636363633</v>
      </c>
      <c r="V125" s="73">
        <f>IF(Variable_Management!$B$20=3,2,IF((S125*R125/T125)&lt;((T125*(1-(T125/R125)))/(2*Lm*Fsw)),1,2))</f>
        <v>2</v>
      </c>
      <c r="W125" s="71">
        <f t="shared" si="81"/>
        <v>0.79439252336448596</v>
      </c>
      <c r="X125" s="74">
        <f t="shared" si="82"/>
        <v>0.20560747663551404</v>
      </c>
      <c r="Y125" s="73">
        <f t="shared" si="83"/>
        <v>5.8255451713395638</v>
      </c>
      <c r="Z125" s="71">
        <f t="shared" si="77"/>
        <v>25.869136222033415</v>
      </c>
      <c r="AA125" s="71">
        <f t="shared" si="78"/>
        <v>23.017878112101652</v>
      </c>
      <c r="AB125" s="71">
        <v>0</v>
      </c>
      <c r="AC125" s="71">
        <f t="shared" si="84"/>
        <v>1.2185922394022073</v>
      </c>
      <c r="AD125" s="74">
        <f t="shared" si="67"/>
        <v>1.2185922394022073</v>
      </c>
      <c r="AE125" s="73">
        <f t="shared" si="76"/>
        <v>18.236363636363635</v>
      </c>
      <c r="AF125" s="71">
        <f t="shared" si="68"/>
        <v>20.515535619231493</v>
      </c>
      <c r="AG125" s="71">
        <f t="shared" si="85"/>
        <v>1.6835488069758244</v>
      </c>
      <c r="AH125" s="71">
        <f t="shared" si="86"/>
        <v>6.5191805499065243</v>
      </c>
      <c r="AI125" s="74">
        <f t="shared" si="69"/>
        <v>8.2027293568823492</v>
      </c>
      <c r="AJ125" s="73">
        <f t="shared" si="70"/>
        <v>4.72</v>
      </c>
      <c r="AK125" s="71">
        <f t="shared" si="87"/>
        <v>10.437217590891366</v>
      </c>
      <c r="AL125" s="71">
        <f t="shared" si="88"/>
        <v>0.43574204415844875</v>
      </c>
      <c r="AM125" s="71">
        <f t="shared" si="95"/>
        <v>0</v>
      </c>
      <c r="AN125" s="188">
        <f t="shared" si="89"/>
        <v>0.31042963466440099</v>
      </c>
      <c r="AO125" s="74">
        <f t="shared" si="72"/>
        <v>0.74617167882284974</v>
      </c>
      <c r="AP125" s="73">
        <f t="shared" si="90"/>
        <v>0.79473406917535261</v>
      </c>
      <c r="AQ125" s="206">
        <f t="shared" si="91"/>
        <v>1.2185922394022073</v>
      </c>
      <c r="AR125" s="206">
        <f t="shared" si="92"/>
        <v>3.0218089420955812</v>
      </c>
      <c r="AS125" s="71">
        <f t="shared" si="93"/>
        <v>0.12000000000000001</v>
      </c>
      <c r="AT125" s="74">
        <f t="shared" si="94"/>
        <v>3.6299999999999995E-5</v>
      </c>
      <c r="AU125" s="73">
        <f t="shared" si="73"/>
        <v>15.322664825780546</v>
      </c>
      <c r="AV125" s="71">
        <f t="shared" si="74"/>
        <v>252.51999999999998</v>
      </c>
      <c r="AW125" s="74">
        <f t="shared" si="75"/>
        <v>94.279229249848143</v>
      </c>
    </row>
    <row r="126" spans="17:49" x14ac:dyDescent="0.25">
      <c r="Q126">
        <v>119</v>
      </c>
      <c r="R126" s="73">
        <f t="shared" si="49"/>
        <v>53.5</v>
      </c>
      <c r="S126" s="71">
        <f t="shared" si="79"/>
        <v>4.76</v>
      </c>
      <c r="T126" s="71">
        <f t="shared" si="51"/>
        <v>11</v>
      </c>
      <c r="U126" s="74">
        <f t="shared" si="80"/>
        <v>23.150909090909092</v>
      </c>
      <c r="V126" s="73">
        <f>IF(Variable_Management!$B$20=3,2,IF((S126*R126/T126)&lt;((T126*(1-(T126/R126)))/(2*Lm*Fsw)),1,2))</f>
        <v>2</v>
      </c>
      <c r="W126" s="71">
        <f t="shared" si="81"/>
        <v>0.79439252336448596</v>
      </c>
      <c r="X126" s="74">
        <f t="shared" si="82"/>
        <v>0.20560747663551404</v>
      </c>
      <c r="Y126" s="73">
        <f t="shared" si="83"/>
        <v>5.8255451713395638</v>
      </c>
      <c r="Z126" s="71">
        <f t="shared" si="77"/>
        <v>26.063681676578874</v>
      </c>
      <c r="AA126" s="71">
        <f t="shared" si="78"/>
        <v>23.211908002448808</v>
      </c>
      <c r="AB126" s="71">
        <v>0</v>
      </c>
      <c r="AC126" s="71">
        <f t="shared" si="84"/>
        <v>1.2392231481625382</v>
      </c>
      <c r="AD126" s="74">
        <f t="shared" si="67"/>
        <v>1.2392231481625382</v>
      </c>
      <c r="AE126" s="73">
        <f t="shared" si="76"/>
        <v>18.390909090909091</v>
      </c>
      <c r="AF126" s="71">
        <f t="shared" si="68"/>
        <v>20.688471938870784</v>
      </c>
      <c r="AG126" s="71">
        <f t="shared" si="85"/>
        <v>1.7120514846617756</v>
      </c>
      <c r="AH126" s="71">
        <f t="shared" si="86"/>
        <v>6.5744278427023426</v>
      </c>
      <c r="AI126" s="74">
        <f t="shared" si="69"/>
        <v>8.286479327364118</v>
      </c>
      <c r="AJ126" s="73">
        <f t="shared" si="70"/>
        <v>4.7600000000000007</v>
      </c>
      <c r="AK126" s="71">
        <f t="shared" si="87"/>
        <v>10.525198427996649</v>
      </c>
      <c r="AL126" s="71">
        <f t="shared" si="88"/>
        <v>0.44311920779481256</v>
      </c>
      <c r="AM126" s="71">
        <f t="shared" si="95"/>
        <v>0</v>
      </c>
      <c r="AN126" s="188">
        <f t="shared" si="89"/>
        <v>0.31276418011894647</v>
      </c>
      <c r="AO126" s="74">
        <f t="shared" si="72"/>
        <v>0.75588338791375898</v>
      </c>
      <c r="AP126" s="73">
        <f t="shared" si="90"/>
        <v>0.80818900967122065</v>
      </c>
      <c r="AQ126" s="206">
        <f t="shared" si="91"/>
        <v>1.2392231481625382</v>
      </c>
      <c r="AR126" s="206">
        <f t="shared" si="92"/>
        <v>3.0218089420955812</v>
      </c>
      <c r="AS126" s="71">
        <f t="shared" si="93"/>
        <v>0.12000000000000001</v>
      </c>
      <c r="AT126" s="74">
        <f t="shared" si="94"/>
        <v>3.6299999999999995E-5</v>
      </c>
      <c r="AU126" s="73">
        <f t="shared" si="73"/>
        <v>15.470843263369755</v>
      </c>
      <c r="AV126" s="71">
        <f t="shared" si="74"/>
        <v>254.66</v>
      </c>
      <c r="AW126" s="74">
        <f t="shared" si="75"/>
        <v>94.27283346230621</v>
      </c>
    </row>
    <row r="127" spans="17:49" x14ac:dyDescent="0.25">
      <c r="Q127">
        <v>120</v>
      </c>
      <c r="R127" s="73">
        <f t="shared" si="49"/>
        <v>53.5</v>
      </c>
      <c r="S127" s="71">
        <f t="shared" si="79"/>
        <v>4.8</v>
      </c>
      <c r="T127" s="71">
        <f t="shared" si="51"/>
        <v>11</v>
      </c>
      <c r="U127" s="74">
        <f t="shared" si="80"/>
        <v>23.345454545454547</v>
      </c>
      <c r="V127" s="73">
        <f>IF(Variable_Management!$B$20=3,2,IF((S127*R127/T127)&lt;((T127*(1-(T127/R127)))/(2*Lm*Fsw)),1,2))</f>
        <v>2</v>
      </c>
      <c r="W127" s="71">
        <f t="shared" si="81"/>
        <v>0.79439252336448596</v>
      </c>
      <c r="X127" s="74">
        <f t="shared" si="82"/>
        <v>0.20560747663551404</v>
      </c>
      <c r="Y127" s="73">
        <f t="shared" si="83"/>
        <v>5.8255451713395638</v>
      </c>
      <c r="Z127" s="71">
        <f t="shared" si="77"/>
        <v>26.258227131124329</v>
      </c>
      <c r="AA127" s="71">
        <f t="shared" si="78"/>
        <v>23.405946451970156</v>
      </c>
      <c r="AB127" s="71">
        <v>0</v>
      </c>
      <c r="AC127" s="71">
        <f t="shared" si="84"/>
        <v>1.2600281574187371</v>
      </c>
      <c r="AD127" s="74">
        <f t="shared" si="67"/>
        <v>1.2600281574187371</v>
      </c>
      <c r="AE127" s="73">
        <f t="shared" si="76"/>
        <v>18.545454545454547</v>
      </c>
      <c r="AF127" s="71">
        <f t="shared" si="68"/>
        <v>20.861415887190795</v>
      </c>
      <c r="AG127" s="71">
        <f t="shared" si="85"/>
        <v>1.7407946912733461</v>
      </c>
      <c r="AH127" s="71">
        <f t="shared" si="86"/>
        <v>6.6296751354981609</v>
      </c>
      <c r="AI127" s="74">
        <f t="shared" si="69"/>
        <v>8.3704698267715063</v>
      </c>
      <c r="AJ127" s="73">
        <f t="shared" si="70"/>
        <v>4.8000000000000007</v>
      </c>
      <c r="AK127" s="71">
        <f t="shared" si="87"/>
        <v>10.613183146170506</v>
      </c>
      <c r="AL127" s="71">
        <f t="shared" si="88"/>
        <v>0.45055862597663071</v>
      </c>
      <c r="AM127" s="71">
        <f t="shared" si="95"/>
        <v>0</v>
      </c>
      <c r="AN127" s="188">
        <f t="shared" si="89"/>
        <v>0.31509872557349194</v>
      </c>
      <c r="AO127" s="74">
        <f t="shared" si="72"/>
        <v>0.7656573515501226</v>
      </c>
      <c r="AP127" s="73">
        <f t="shared" si="90"/>
        <v>0.82175749396874154</v>
      </c>
      <c r="AQ127" s="206">
        <f t="shared" si="91"/>
        <v>1.2600281574187371</v>
      </c>
      <c r="AR127" s="206">
        <f t="shared" si="92"/>
        <v>3.0218089420955812</v>
      </c>
      <c r="AS127" s="71">
        <f t="shared" si="93"/>
        <v>0.12000000000000001</v>
      </c>
      <c r="AT127" s="74">
        <f t="shared" si="94"/>
        <v>3.6299999999999995E-5</v>
      </c>
      <c r="AU127" s="73">
        <f t="shared" si="73"/>
        <v>15.619786229223426</v>
      </c>
      <c r="AV127" s="71">
        <f t="shared" si="74"/>
        <v>256.8</v>
      </c>
      <c r="AW127" s="74">
        <f t="shared" si="75"/>
        <v>94.266280564481306</v>
      </c>
    </row>
    <row r="128" spans="17:49" x14ac:dyDescent="0.25">
      <c r="Q128">
        <v>121</v>
      </c>
      <c r="R128" s="73">
        <f t="shared" si="49"/>
        <v>53.5</v>
      </c>
      <c r="S128" s="71">
        <f t="shared" si="79"/>
        <v>4.84</v>
      </c>
      <c r="T128" s="71">
        <f t="shared" si="51"/>
        <v>11</v>
      </c>
      <c r="U128" s="74">
        <f t="shared" si="80"/>
        <v>23.54</v>
      </c>
      <c r="V128" s="73">
        <f>IF(Variable_Management!$B$20=3,2,IF((S128*R128/T128)&lt;((T128*(1-(T128/R128)))/(2*Lm*Fsw)),1,2))</f>
        <v>2</v>
      </c>
      <c r="W128" s="71">
        <f t="shared" si="81"/>
        <v>0.79439252336448596</v>
      </c>
      <c r="X128" s="74">
        <f t="shared" si="82"/>
        <v>0.20560747663551404</v>
      </c>
      <c r="Y128" s="73">
        <f t="shared" si="83"/>
        <v>5.8255451713395638</v>
      </c>
      <c r="Z128" s="71">
        <f t="shared" si="77"/>
        <v>26.452772585669781</v>
      </c>
      <c r="AA128" s="71">
        <f t="shared" si="78"/>
        <v>23.59999324954585</v>
      </c>
      <c r="AB128" s="71">
        <v>0</v>
      </c>
      <c r="AC128" s="71">
        <f t="shared" si="84"/>
        <v>1.2810072671708024</v>
      </c>
      <c r="AD128" s="74">
        <f t="shared" si="67"/>
        <v>1.2810072671708024</v>
      </c>
      <c r="AE128" s="73">
        <f t="shared" si="76"/>
        <v>18.7</v>
      </c>
      <c r="AF128" s="71">
        <f t="shared" si="68"/>
        <v>21.034367276023154</v>
      </c>
      <c r="AG128" s="71">
        <f t="shared" si="85"/>
        <v>1.769778426810535</v>
      </c>
      <c r="AH128" s="71">
        <f t="shared" si="86"/>
        <v>6.6849224282939765</v>
      </c>
      <c r="AI128" s="74">
        <f t="shared" si="69"/>
        <v>8.4547008551045124</v>
      </c>
      <c r="AJ128" s="73">
        <f t="shared" si="70"/>
        <v>4.8400000000000007</v>
      </c>
      <c r="AK128" s="71">
        <f t="shared" si="87"/>
        <v>10.701171649682843</v>
      </c>
      <c r="AL128" s="71">
        <f t="shared" si="88"/>
        <v>0.4580602987039033</v>
      </c>
      <c r="AM128" s="71">
        <f t="shared" si="95"/>
        <v>0</v>
      </c>
      <c r="AN128" s="188">
        <f t="shared" si="89"/>
        <v>0.31743327102803737</v>
      </c>
      <c r="AO128" s="74">
        <f t="shared" si="72"/>
        <v>0.77549356973194072</v>
      </c>
      <c r="AP128" s="73">
        <f t="shared" si="90"/>
        <v>0.83543952206791461</v>
      </c>
      <c r="AQ128" s="206">
        <f t="shared" si="91"/>
        <v>1.2810072671708024</v>
      </c>
      <c r="AR128" s="206">
        <f t="shared" si="92"/>
        <v>3.0218089420955812</v>
      </c>
      <c r="AS128" s="71">
        <f t="shared" si="93"/>
        <v>0.12000000000000001</v>
      </c>
      <c r="AT128" s="74">
        <f t="shared" si="94"/>
        <v>3.6299999999999995E-5</v>
      </c>
      <c r="AU128" s="73">
        <f t="shared" si="73"/>
        <v>15.769493723341551</v>
      </c>
      <c r="AV128" s="71">
        <f t="shared" si="74"/>
        <v>258.94</v>
      </c>
      <c r="AW128" s="74">
        <f t="shared" si="75"/>
        <v>94.259574538321957</v>
      </c>
    </row>
    <row r="129" spans="17:49" x14ac:dyDescent="0.25">
      <c r="Q129">
        <v>122</v>
      </c>
      <c r="R129" s="73">
        <f t="shared" si="49"/>
        <v>53.5</v>
      </c>
      <c r="S129" s="71">
        <f t="shared" si="79"/>
        <v>4.88</v>
      </c>
      <c r="T129" s="71">
        <f t="shared" si="51"/>
        <v>11</v>
      </c>
      <c r="U129" s="74">
        <f t="shared" si="80"/>
        <v>23.734545454545454</v>
      </c>
      <c r="V129" s="73">
        <f>IF(Variable_Management!$B$20=3,2,IF((S129*R129/T129)&lt;((T129*(1-(T129/R129)))/(2*Lm*Fsw)),1,2))</f>
        <v>2</v>
      </c>
      <c r="W129" s="71">
        <f t="shared" si="81"/>
        <v>0.79439252336448596</v>
      </c>
      <c r="X129" s="74">
        <f t="shared" si="82"/>
        <v>0.20560747663551404</v>
      </c>
      <c r="Y129" s="73">
        <f t="shared" si="83"/>
        <v>5.8255451713395638</v>
      </c>
      <c r="Z129" s="71">
        <f t="shared" si="77"/>
        <v>26.647318040215236</v>
      </c>
      <c r="AA129" s="71">
        <f t="shared" si="78"/>
        <v>23.794048190934095</v>
      </c>
      <c r="AB129" s="71">
        <v>0</v>
      </c>
      <c r="AC129" s="71">
        <f t="shared" si="84"/>
        <v>1.3021604774187365</v>
      </c>
      <c r="AD129" s="74">
        <f t="shared" si="67"/>
        <v>1.3021604774187365</v>
      </c>
      <c r="AE129" s="73">
        <f t="shared" si="76"/>
        <v>18.854545454545455</v>
      </c>
      <c r="AF129" s="71">
        <f t="shared" si="68"/>
        <v>21.207325923329805</v>
      </c>
      <c r="AG129" s="71">
        <f t="shared" si="85"/>
        <v>1.7990026912733454</v>
      </c>
      <c r="AH129" s="71">
        <f t="shared" si="86"/>
        <v>6.7401697210897957</v>
      </c>
      <c r="AI129" s="74">
        <f t="shared" si="69"/>
        <v>8.5391724123631416</v>
      </c>
      <c r="AJ129" s="73">
        <f t="shared" si="70"/>
        <v>4.8800000000000008</v>
      </c>
      <c r="AK129" s="71">
        <f t="shared" si="87"/>
        <v>10.789163845922337</v>
      </c>
      <c r="AL129" s="71">
        <f t="shared" si="88"/>
        <v>0.46562422597663067</v>
      </c>
      <c r="AM129" s="71">
        <f t="shared" si="95"/>
        <v>0</v>
      </c>
      <c r="AN129" s="188">
        <f t="shared" si="89"/>
        <v>0.31976781648258285</v>
      </c>
      <c r="AO129" s="74">
        <f t="shared" si="72"/>
        <v>0.78539204245921357</v>
      </c>
      <c r="AP129" s="73">
        <f t="shared" si="90"/>
        <v>0.84923509396874119</v>
      </c>
      <c r="AQ129" s="206">
        <f t="shared" si="91"/>
        <v>1.3021604774187365</v>
      </c>
      <c r="AR129" s="206">
        <f t="shared" si="92"/>
        <v>3.0218089420955812</v>
      </c>
      <c r="AS129" s="71">
        <f t="shared" si="93"/>
        <v>0.12000000000000001</v>
      </c>
      <c r="AT129" s="74">
        <f t="shared" si="94"/>
        <v>3.6299999999999995E-5</v>
      </c>
      <c r="AU129" s="73">
        <f t="shared" si="73"/>
        <v>15.919965745724149</v>
      </c>
      <c r="AV129" s="71">
        <f t="shared" si="74"/>
        <v>261.08</v>
      </c>
      <c r="AW129" s="74">
        <f t="shared" si="75"/>
        <v>94.252719236673812</v>
      </c>
    </row>
    <row r="130" spans="17:49" x14ac:dyDescent="0.25">
      <c r="Q130">
        <v>123</v>
      </c>
      <c r="R130" s="73">
        <f t="shared" si="49"/>
        <v>53.5</v>
      </c>
      <c r="S130" s="71">
        <f t="shared" si="79"/>
        <v>4.92</v>
      </c>
      <c r="T130" s="71">
        <f t="shared" si="51"/>
        <v>11</v>
      </c>
      <c r="U130" s="74">
        <f t="shared" si="80"/>
        <v>23.929090909090906</v>
      </c>
      <c r="V130" s="73">
        <f>IF(Variable_Management!$B$20=3,2,IF((S130*R130/T130)&lt;((T130*(1-(T130/R130)))/(2*Lm*Fsw)),1,2))</f>
        <v>2</v>
      </c>
      <c r="W130" s="71">
        <f t="shared" si="81"/>
        <v>0.79439252336448596</v>
      </c>
      <c r="X130" s="74">
        <f t="shared" si="82"/>
        <v>0.20560747663551404</v>
      </c>
      <c r="Y130" s="73">
        <f t="shared" si="83"/>
        <v>5.8255451713395638</v>
      </c>
      <c r="Z130" s="71">
        <f t="shared" si="77"/>
        <v>26.841863494760688</v>
      </c>
      <c r="AA130" s="71">
        <f t="shared" si="78"/>
        <v>23.988111078493588</v>
      </c>
      <c r="AB130" s="71">
        <v>0</v>
      </c>
      <c r="AC130" s="71">
        <f t="shared" si="84"/>
        <v>1.3234877881625378</v>
      </c>
      <c r="AD130" s="74">
        <f t="shared" si="67"/>
        <v>1.3234877881625378</v>
      </c>
      <c r="AE130" s="73">
        <f t="shared" si="76"/>
        <v>19.009090909090908</v>
      </c>
      <c r="AF130" s="71">
        <f t="shared" si="68"/>
        <v>21.380291652955616</v>
      </c>
      <c r="AG130" s="71">
        <f t="shared" si="85"/>
        <v>1.8284674846617746</v>
      </c>
      <c r="AH130" s="71">
        <f t="shared" si="86"/>
        <v>6.7954170138856131</v>
      </c>
      <c r="AI130" s="74">
        <f t="shared" si="69"/>
        <v>8.6238844985473868</v>
      </c>
      <c r="AJ130" s="73">
        <f t="shared" si="70"/>
        <v>4.92</v>
      </c>
      <c r="AK130" s="71">
        <f t="shared" si="87"/>
        <v>10.877159645270591</v>
      </c>
      <c r="AL130" s="71">
        <f t="shared" si="88"/>
        <v>0.47325040779481226</v>
      </c>
      <c r="AM130" s="71">
        <f t="shared" si="95"/>
        <v>0</v>
      </c>
      <c r="AN130" s="188">
        <f t="shared" si="89"/>
        <v>0.32210236193712827</v>
      </c>
      <c r="AO130" s="74">
        <f t="shared" si="72"/>
        <v>0.79535276973194047</v>
      </c>
      <c r="AP130" s="73">
        <f t="shared" si="90"/>
        <v>0.8631442096712203</v>
      </c>
      <c r="AQ130" s="206">
        <f t="shared" si="91"/>
        <v>1.3234877881625378</v>
      </c>
      <c r="AR130" s="206">
        <f t="shared" si="92"/>
        <v>3.0218089420955812</v>
      </c>
      <c r="AS130" s="71">
        <f t="shared" si="93"/>
        <v>0.12000000000000001</v>
      </c>
      <c r="AT130" s="74">
        <f t="shared" si="94"/>
        <v>3.6299999999999995E-5</v>
      </c>
      <c r="AU130" s="73">
        <f t="shared" si="73"/>
        <v>16.071202296371204</v>
      </c>
      <c r="AV130" s="71">
        <f t="shared" si="74"/>
        <v>263.21999999999997</v>
      </c>
      <c r="AW130" s="74">
        <f t="shared" si="75"/>
        <v>94.245718388466386</v>
      </c>
    </row>
    <row r="131" spans="17:49" x14ac:dyDescent="0.25">
      <c r="Q131">
        <v>124</v>
      </c>
      <c r="R131" s="73">
        <f t="shared" si="49"/>
        <v>53.5</v>
      </c>
      <c r="S131" s="71">
        <f t="shared" si="79"/>
        <v>4.96</v>
      </c>
      <c r="T131" s="71">
        <f t="shared" si="51"/>
        <v>11</v>
      </c>
      <c r="U131" s="74">
        <f t="shared" si="80"/>
        <v>24.123636363636365</v>
      </c>
      <c r="V131" s="73">
        <f>IF(Variable_Management!$B$20=3,2,IF((S131*R131/T131)&lt;((T131*(1-(T131/R131)))/(2*Lm*Fsw)),1,2))</f>
        <v>2</v>
      </c>
      <c r="W131" s="71">
        <f t="shared" si="81"/>
        <v>0.79439252336448596</v>
      </c>
      <c r="X131" s="74">
        <f t="shared" si="82"/>
        <v>0.20560747663551404</v>
      </c>
      <c r="Y131" s="73">
        <f t="shared" si="83"/>
        <v>5.8255451713395638</v>
      </c>
      <c r="Z131" s="71">
        <f t="shared" si="77"/>
        <v>27.036408949306146</v>
      </c>
      <c r="AA131" s="71">
        <f t="shared" si="78"/>
        <v>24.182181720919406</v>
      </c>
      <c r="AB131" s="71">
        <v>0</v>
      </c>
      <c r="AC131" s="71">
        <f t="shared" si="84"/>
        <v>1.3449891994022081</v>
      </c>
      <c r="AD131" s="74">
        <f t="shared" si="67"/>
        <v>1.3449891994022081</v>
      </c>
      <c r="AE131" s="73">
        <f t="shared" si="76"/>
        <v>19.163636363636364</v>
      </c>
      <c r="AF131" s="71">
        <f t="shared" si="68"/>
        <v>21.553264294393003</v>
      </c>
      <c r="AG131" s="71">
        <f t="shared" si="85"/>
        <v>1.8581728069758254</v>
      </c>
      <c r="AH131" s="71">
        <f t="shared" si="86"/>
        <v>6.8506643066814323</v>
      </c>
      <c r="AI131" s="74">
        <f t="shared" si="69"/>
        <v>8.7088371136572569</v>
      </c>
      <c r="AJ131" s="73">
        <f t="shared" si="70"/>
        <v>4.9600000000000009</v>
      </c>
      <c r="AK131" s="71">
        <f t="shared" si="87"/>
        <v>10.965158960982382</v>
      </c>
      <c r="AL131" s="71">
        <f t="shared" si="88"/>
        <v>0.48093884415844895</v>
      </c>
      <c r="AM131" s="71">
        <f t="shared" si="95"/>
        <v>0</v>
      </c>
      <c r="AN131" s="188">
        <f t="shared" si="89"/>
        <v>0.32443690739167375</v>
      </c>
      <c r="AO131" s="74">
        <f t="shared" si="72"/>
        <v>0.80537575155012275</v>
      </c>
      <c r="AP131" s="73">
        <f t="shared" si="90"/>
        <v>0.87716686917535303</v>
      </c>
      <c r="AQ131" s="206">
        <f t="shared" si="91"/>
        <v>1.3449891994022081</v>
      </c>
      <c r="AR131" s="206">
        <f t="shared" si="92"/>
        <v>3.0218089420955812</v>
      </c>
      <c r="AS131" s="71">
        <f t="shared" si="93"/>
        <v>0.12000000000000001</v>
      </c>
      <c r="AT131" s="74">
        <f t="shared" si="94"/>
        <v>3.6299999999999995E-5</v>
      </c>
      <c r="AU131" s="73">
        <f t="shared" si="73"/>
        <v>16.223203375282729</v>
      </c>
      <c r="AV131" s="71">
        <f t="shared" si="74"/>
        <v>265.36</v>
      </c>
      <c r="AW131" s="74">
        <f t="shared" si="75"/>
        <v>94.238575603651654</v>
      </c>
    </row>
    <row r="132" spans="17:49" x14ac:dyDescent="0.25">
      <c r="Q132">
        <v>125</v>
      </c>
      <c r="R132" s="73">
        <f t="shared" si="49"/>
        <v>53.5</v>
      </c>
      <c r="S132" s="71">
        <f t="shared" si="79"/>
        <v>5</v>
      </c>
      <c r="T132" s="71">
        <f t="shared" si="51"/>
        <v>11</v>
      </c>
      <c r="U132" s="74">
        <f t="shared" si="80"/>
        <v>24.318181818181817</v>
      </c>
      <c r="V132" s="73">
        <f>IF(Variable_Management!$B$20=3,2,IF((S132*R132/T132)&lt;((T132*(1-(T132/R132)))/(2*Lm*Fsw)),1,2))</f>
        <v>2</v>
      </c>
      <c r="W132" s="71">
        <f t="shared" si="81"/>
        <v>0.79439252336448596</v>
      </c>
      <c r="X132" s="74">
        <f t="shared" si="82"/>
        <v>0.20560747663551404</v>
      </c>
      <c r="Y132" s="73">
        <f t="shared" si="83"/>
        <v>5.8255451713395638</v>
      </c>
      <c r="Z132" s="71">
        <f t="shared" si="77"/>
        <v>27.230954403851598</v>
      </c>
      <c r="AA132" s="71">
        <f t="shared" si="78"/>
        <v>24.376259932991328</v>
      </c>
      <c r="AB132" s="71">
        <v>0</v>
      </c>
      <c r="AC132" s="71">
        <f t="shared" si="84"/>
        <v>1.3666647111377443</v>
      </c>
      <c r="AD132" s="74">
        <f t="shared" si="67"/>
        <v>1.3666647111377443</v>
      </c>
      <c r="AE132" s="73">
        <f t="shared" si="76"/>
        <v>19.318181818181817</v>
      </c>
      <c r="AF132" s="71">
        <f t="shared" si="68"/>
        <v>21.726243682557588</v>
      </c>
      <c r="AG132" s="71">
        <f t="shared" si="85"/>
        <v>1.8881186582154941</v>
      </c>
      <c r="AH132" s="71">
        <f t="shared" si="86"/>
        <v>6.9059115994772498</v>
      </c>
      <c r="AI132" s="74">
        <f t="shared" si="69"/>
        <v>8.7940302576927429</v>
      </c>
      <c r="AJ132" s="73">
        <f t="shared" si="70"/>
        <v>5</v>
      </c>
      <c r="AK132" s="71">
        <f t="shared" si="87"/>
        <v>11.053161709071523</v>
      </c>
      <c r="AL132" s="71">
        <f t="shared" si="88"/>
        <v>0.48868953506753965</v>
      </c>
      <c r="AM132" s="71">
        <f t="shared" si="95"/>
        <v>0</v>
      </c>
      <c r="AN132" s="188">
        <f t="shared" si="89"/>
        <v>0.32677145284621917</v>
      </c>
      <c r="AO132" s="74">
        <f t="shared" si="72"/>
        <v>0.81546098791375887</v>
      </c>
      <c r="AP132" s="73">
        <f t="shared" si="90"/>
        <v>0.8913030724811376</v>
      </c>
      <c r="AQ132" s="206">
        <f t="shared" si="91"/>
        <v>1.3666647111377443</v>
      </c>
      <c r="AR132" s="206">
        <f t="shared" si="92"/>
        <v>3.0218089420955812</v>
      </c>
      <c r="AS132" s="71">
        <f t="shared" si="93"/>
        <v>0.12000000000000001</v>
      </c>
      <c r="AT132" s="74">
        <f t="shared" si="94"/>
        <v>3.6299999999999995E-5</v>
      </c>
      <c r="AU132" s="73">
        <f t="shared" si="73"/>
        <v>16.375968982458708</v>
      </c>
      <c r="AV132" s="71">
        <f t="shared" si="74"/>
        <v>267.5</v>
      </c>
      <c r="AW132" s="74">
        <f t="shared" si="75"/>
        <v>94.231294377908199</v>
      </c>
    </row>
    <row r="133" spans="17:49" x14ac:dyDescent="0.25">
      <c r="Q133">
        <v>126</v>
      </c>
      <c r="R133" s="73">
        <f t="shared" si="49"/>
        <v>53.5</v>
      </c>
      <c r="S133" s="71">
        <f t="shared" si="79"/>
        <v>5.04</v>
      </c>
      <c r="T133" s="71">
        <f t="shared" si="51"/>
        <v>11</v>
      </c>
      <c r="U133" s="74">
        <f t="shared" si="80"/>
        <v>24.512727272727272</v>
      </c>
      <c r="V133" s="73">
        <f>IF(Variable_Management!$B$20=3,2,IF((S133*R133/T133)&lt;((T133*(1-(T133/R133)))/(2*Lm*Fsw)),1,2))</f>
        <v>2</v>
      </c>
      <c r="W133" s="71">
        <f t="shared" si="81"/>
        <v>0.79439252336448596</v>
      </c>
      <c r="X133" s="74">
        <f t="shared" si="82"/>
        <v>0.20560747663551404</v>
      </c>
      <c r="Y133" s="73">
        <f t="shared" si="83"/>
        <v>5.8255451713395638</v>
      </c>
      <c r="Z133" s="71">
        <f t="shared" si="77"/>
        <v>27.425499858397053</v>
      </c>
      <c r="AA133" s="71">
        <f t="shared" si="78"/>
        <v>24.570345535334198</v>
      </c>
      <c r="AB133" s="71">
        <v>0</v>
      </c>
      <c r="AC133" s="71">
        <f t="shared" si="84"/>
        <v>1.3885143233691495</v>
      </c>
      <c r="AD133" s="74">
        <f t="shared" si="67"/>
        <v>1.3885143233691495</v>
      </c>
      <c r="AE133" s="73">
        <f t="shared" si="76"/>
        <v>19.472727272727273</v>
      </c>
      <c r="AF133" s="71">
        <f t="shared" si="68"/>
        <v>21.899229657574622</v>
      </c>
      <c r="AG133" s="71">
        <f t="shared" si="85"/>
        <v>1.9183050383807836</v>
      </c>
      <c r="AH133" s="71">
        <f t="shared" si="86"/>
        <v>6.9611588922730689</v>
      </c>
      <c r="AI133" s="74">
        <f t="shared" si="69"/>
        <v>8.8794639306538521</v>
      </c>
      <c r="AJ133" s="73">
        <f t="shared" si="70"/>
        <v>5.04</v>
      </c>
      <c r="AK133" s="71">
        <f t="shared" si="87"/>
        <v>11.141167808202212</v>
      </c>
      <c r="AL133" s="71">
        <f t="shared" si="88"/>
        <v>0.49650248052208512</v>
      </c>
      <c r="AM133" s="71">
        <f t="shared" si="95"/>
        <v>0</v>
      </c>
      <c r="AN133" s="188">
        <f t="shared" si="89"/>
        <v>0.32910599830076465</v>
      </c>
      <c r="AO133" s="74">
        <f t="shared" si="72"/>
        <v>0.82560847882284971</v>
      </c>
      <c r="AP133" s="73">
        <f t="shared" si="90"/>
        <v>0.90555281958857581</v>
      </c>
      <c r="AQ133" s="206">
        <f t="shared" si="91"/>
        <v>1.3885143233691495</v>
      </c>
      <c r="AR133" s="206">
        <f t="shared" si="92"/>
        <v>3.0218089420955812</v>
      </c>
      <c r="AS133" s="71">
        <f t="shared" si="93"/>
        <v>0.12000000000000001</v>
      </c>
      <c r="AT133" s="74">
        <f t="shared" si="94"/>
        <v>3.6299999999999995E-5</v>
      </c>
      <c r="AU133" s="73">
        <f t="shared" si="73"/>
        <v>16.529499117899157</v>
      </c>
      <c r="AV133" s="71">
        <f t="shared" si="74"/>
        <v>269.64</v>
      </c>
      <c r="AW133" s="74">
        <f t="shared" si="75"/>
        <v>94.223878097124128</v>
      </c>
    </row>
    <row r="134" spans="17:49" x14ac:dyDescent="0.25">
      <c r="Q134">
        <v>127</v>
      </c>
      <c r="R134" s="73">
        <f t="shared" si="49"/>
        <v>53.5</v>
      </c>
      <c r="S134" s="71">
        <f t="shared" si="79"/>
        <v>5.08</v>
      </c>
      <c r="T134" s="71">
        <f t="shared" si="51"/>
        <v>11</v>
      </c>
      <c r="U134" s="74">
        <f t="shared" si="80"/>
        <v>24.707272727272731</v>
      </c>
      <c r="V134" s="73">
        <f>IF(Variable_Management!$B$20=3,2,IF((S134*R134/T134)&lt;((T134*(1-(T134/R134)))/(2*Lm*Fsw)),1,2))</f>
        <v>2</v>
      </c>
      <c r="W134" s="71">
        <f t="shared" si="81"/>
        <v>0.79439252336448596</v>
      </c>
      <c r="X134" s="74">
        <f t="shared" si="82"/>
        <v>0.20560747663551404</v>
      </c>
      <c r="Y134" s="73">
        <f t="shared" si="83"/>
        <v>5.8255451713395638</v>
      </c>
      <c r="Z134" s="71">
        <f t="shared" si="77"/>
        <v>27.620045312942512</v>
      </c>
      <c r="AA134" s="71">
        <f t="shared" si="78"/>
        <v>24.764438354189352</v>
      </c>
      <c r="AB134" s="71">
        <v>0</v>
      </c>
      <c r="AC134" s="71">
        <f t="shared" si="84"/>
        <v>1.4105380360964226</v>
      </c>
      <c r="AD134" s="74">
        <f t="shared" si="67"/>
        <v>1.4105380360964226</v>
      </c>
      <c r="AE134" s="73">
        <f t="shared" si="76"/>
        <v>19.627272727272729</v>
      </c>
      <c r="AF134" s="71">
        <f t="shared" si="68"/>
        <v>22.072222064575268</v>
      </c>
      <c r="AG134" s="71">
        <f t="shared" si="85"/>
        <v>1.9487319474716933</v>
      </c>
      <c r="AH134" s="71">
        <f t="shared" si="86"/>
        <v>7.0164061850688864</v>
      </c>
      <c r="AI134" s="74">
        <f t="shared" si="69"/>
        <v>8.965138132540579</v>
      </c>
      <c r="AJ134" s="73">
        <f t="shared" si="70"/>
        <v>5.080000000000001</v>
      </c>
      <c r="AK134" s="71">
        <f t="shared" si="87"/>
        <v>11.229177179585394</v>
      </c>
      <c r="AL134" s="71">
        <f t="shared" si="88"/>
        <v>0.50437768052208554</v>
      </c>
      <c r="AM134" s="71">
        <f t="shared" si="95"/>
        <v>0</v>
      </c>
      <c r="AN134" s="188">
        <f t="shared" si="89"/>
        <v>0.33144054375531018</v>
      </c>
      <c r="AO134" s="74">
        <f t="shared" si="72"/>
        <v>0.83581822427739572</v>
      </c>
      <c r="AP134" s="73">
        <f t="shared" si="90"/>
        <v>0.91991611049766686</v>
      </c>
      <c r="AQ134" s="206">
        <f t="shared" si="91"/>
        <v>1.4105380360964226</v>
      </c>
      <c r="AR134" s="206">
        <f t="shared" si="92"/>
        <v>3.0218089420955812</v>
      </c>
      <c r="AS134" s="71">
        <f t="shared" si="93"/>
        <v>0.12000000000000001</v>
      </c>
      <c r="AT134" s="74">
        <f t="shared" si="94"/>
        <v>3.6299999999999995E-5</v>
      </c>
      <c r="AU134" s="73">
        <f t="shared" si="73"/>
        <v>16.683793781604066</v>
      </c>
      <c r="AV134" s="71">
        <f t="shared" si="74"/>
        <v>271.78000000000003</v>
      </c>
      <c r="AW134" s="74">
        <f t="shared" si="75"/>
        <v>94.21633004167056</v>
      </c>
    </row>
    <row r="135" spans="17:49" x14ac:dyDescent="0.25">
      <c r="Q135">
        <v>128</v>
      </c>
      <c r="R135" s="73">
        <f t="shared" ref="R135:R157" si="96">VOUT</f>
        <v>53.5</v>
      </c>
      <c r="S135" s="71">
        <f t="shared" ref="S135:S157" si="97">Q135*$O$12</f>
        <v>5.12</v>
      </c>
      <c r="T135" s="71">
        <f t="shared" ref="T135:T157" si="98">VIN_var</f>
        <v>11</v>
      </c>
      <c r="U135" s="74">
        <f t="shared" ref="U135:U157" si="99">(R135*S135)/(T135*EFF_est)</f>
        <v>24.901818181818182</v>
      </c>
      <c r="V135" s="73">
        <f>IF(Variable_Management!$B$20=3,2,IF((S135*R135/T135)&lt;((T135*(1-(T135/R135)))/(2*Lm*Fsw)),1,2))</f>
        <v>2</v>
      </c>
      <c r="W135" s="71">
        <f t="shared" ref="W135:W157" si="100">CHOOSE(V135,SQRT((2*S135*Lm*Fsw*(R135-T135))/((T135)^2)),1-(T135/R135))</f>
        <v>0.79439252336448596</v>
      </c>
      <c r="X135" s="74">
        <f t="shared" ref="X135:X157" si="101">CHOOSE(V135,(Lm*Z135*Fsw)/(R135-T135),1-W135)</f>
        <v>0.20560747663551404</v>
      </c>
      <c r="Y135" s="73">
        <f t="shared" ref="Y135:Y157" si="102">(T135*W135)/(Lm*Fsw)</f>
        <v>5.8255451713395638</v>
      </c>
      <c r="Z135" s="71">
        <f t="shared" si="77"/>
        <v>27.814590767487964</v>
      </c>
      <c r="AA135" s="71">
        <f t="shared" si="78"/>
        <v>24.958538221196779</v>
      </c>
      <c r="AB135" s="71">
        <v>0</v>
      </c>
      <c r="AC135" s="71">
        <f t="shared" ref="AC135:AC157" si="103">(AA135^2)*Rdcr</f>
        <v>1.432735849319563</v>
      </c>
      <c r="AD135" s="74">
        <f t="shared" si="67"/>
        <v>1.432735849319563</v>
      </c>
      <c r="AE135" s="73">
        <f t="shared" si="76"/>
        <v>19.781818181818181</v>
      </c>
      <c r="AF135" s="71">
        <f t="shared" si="68"/>
        <v>22.245220753502434</v>
      </c>
      <c r="AG135" s="71">
        <f t="shared" ref="AG135:AG157" si="104">(AF135^2)*RDS_on</f>
        <v>1.9793993854882215</v>
      </c>
      <c r="AH135" s="71">
        <f t="shared" ref="AH135:AH157" si="105">((R135*U135)/2)*Fsw*(tr_sw+tf_sw)</f>
        <v>7.0716534778647047</v>
      </c>
      <c r="AI135" s="74">
        <f t="shared" si="69"/>
        <v>9.0510528633529255</v>
      </c>
      <c r="AJ135" s="73">
        <f t="shared" si="70"/>
        <v>5.120000000000001</v>
      </c>
      <c r="AK135" s="71">
        <f t="shared" ref="AK135:AK157" si="106">CHOOSE(V135,Z135*SQRT(X135/3),SQRT(X135*((Z135^2)+((Y135^2)/3)-(Y135*Z135))))</f>
        <v>11.317189746879963</v>
      </c>
      <c r="AL135" s="71">
        <f t="shared" ref="AL135:AL157" si="107">(AK135^2)*RDS_on_HS</f>
        <v>0.51231513506753978</v>
      </c>
      <c r="AM135" s="71">
        <f t="shared" si="95"/>
        <v>0</v>
      </c>
      <c r="AN135" s="188">
        <f t="shared" ref="AN135:AN156" si="108">Vd_rect*t_dead*Fsw*Z135</f>
        <v>0.33377508920985555</v>
      </c>
      <c r="AO135" s="74">
        <f t="shared" si="72"/>
        <v>0.84609022427739533</v>
      </c>
      <c r="AP135" s="73">
        <f t="shared" ref="AP135:AP157" si="109">(AA135^2)*R_cs</f>
        <v>0.93439294520841065</v>
      </c>
      <c r="AQ135" s="206">
        <f t="shared" ref="AQ135:AQ157" si="110">Rdcr*AA135^2</f>
        <v>1.432735849319563</v>
      </c>
      <c r="AR135" s="206">
        <f t="shared" ref="AR135:AR157" si="111">ABS(7.759*10^-3*Fsw^0.9458*(0.00787*Y135)^2.304)</f>
        <v>3.0218089420955812</v>
      </c>
      <c r="AS135" s="71">
        <f t="shared" ref="AS135:AS157" si="112">(Qg_tot+Qg_tot_HS)*Vcc*Fsw</f>
        <v>0.12000000000000001</v>
      </c>
      <c r="AT135" s="74">
        <f t="shared" ref="AT135:AT157" si="113">IQ*T135</f>
        <v>3.6299999999999995E-5</v>
      </c>
      <c r="AU135" s="73">
        <f t="shared" si="73"/>
        <v>16.838852973573438</v>
      </c>
      <c r="AV135" s="71">
        <f t="shared" si="74"/>
        <v>273.92</v>
      </c>
      <c r="AW135" s="74">
        <f t="shared" si="75"/>
        <v>94.208653390476854</v>
      </c>
    </row>
    <row r="136" spans="17:49" x14ac:dyDescent="0.25">
      <c r="Q136">
        <v>129</v>
      </c>
      <c r="R136" s="73">
        <f t="shared" si="96"/>
        <v>53.5</v>
      </c>
      <c r="S136" s="71">
        <f t="shared" si="97"/>
        <v>5.16</v>
      </c>
      <c r="T136" s="71">
        <f t="shared" si="98"/>
        <v>11</v>
      </c>
      <c r="U136" s="74">
        <f t="shared" si="99"/>
        <v>25.096363636363638</v>
      </c>
      <c r="V136" s="73">
        <f>IF(Variable_Management!$B$20=3,2,IF((S136*R136/T136)&lt;((T136*(1-(T136/R136)))/(2*Lm*Fsw)),1,2))</f>
        <v>2</v>
      </c>
      <c r="W136" s="71">
        <f t="shared" si="100"/>
        <v>0.79439252336448596</v>
      </c>
      <c r="X136" s="74">
        <f t="shared" si="101"/>
        <v>0.20560747663551404</v>
      </c>
      <c r="Y136" s="73">
        <f t="shared" si="102"/>
        <v>5.8255451713395638</v>
      </c>
      <c r="Z136" s="71">
        <f t="shared" si="77"/>
        <v>28.009136222033419</v>
      </c>
      <c r="AA136" s="71">
        <f t="shared" si="78"/>
        <v>25.152644973187311</v>
      </c>
      <c r="AB136" s="71">
        <v>0</v>
      </c>
      <c r="AC136" s="71">
        <f t="shared" si="103"/>
        <v>1.4551077630385711</v>
      </c>
      <c r="AD136" s="74">
        <f t="shared" ref="AD136:AD157" si="114">AB136+AC136</f>
        <v>1.4551077630385711</v>
      </c>
      <c r="AE136" s="73">
        <f t="shared" si="76"/>
        <v>19.936363636363637</v>
      </c>
      <c r="AF136" s="71">
        <f t="shared" ref="AF136:AF157" si="115">CHOOSE(V136,Z136*SQRT(W136/3),SQRT(W136*((Z136^2)+((Y136^2)/3)-(Z136*Y136))))</f>
        <v>22.418225578925568</v>
      </c>
      <c r="AG136" s="71">
        <f t="shared" si="104"/>
        <v>2.0103073524303707</v>
      </c>
      <c r="AH136" s="71">
        <f t="shared" si="105"/>
        <v>7.126900770660523</v>
      </c>
      <c r="AI136" s="74">
        <f t="shared" ref="AI136:AI157" si="116">AG136+AH136</f>
        <v>9.1372081230908933</v>
      </c>
      <c r="AJ136" s="73">
        <f t="shared" ref="AJ136:AJ156" si="117">X136*U136</f>
        <v>5.160000000000001</v>
      </c>
      <c r="AK136" s="71">
        <f t="shared" si="106"/>
        <v>11.405205436098564</v>
      </c>
      <c r="AL136" s="71">
        <f t="shared" si="107"/>
        <v>0.52031484415844897</v>
      </c>
      <c r="AM136" s="71">
        <f t="shared" ref="AM136:AM157" si="118">CHOOSE(V136,(R136+Vd_rect)*Qrr*Fsw,(R136+Vd_rect)*Qrr*Fsw)</f>
        <v>0</v>
      </c>
      <c r="AN136" s="188">
        <f t="shared" si="108"/>
        <v>0.33610963466440102</v>
      </c>
      <c r="AO136" s="74">
        <f t="shared" ref="AO136:AO157" si="119">AL136+AM136+AN136</f>
        <v>0.85642447882285</v>
      </c>
      <c r="AP136" s="73">
        <f t="shared" si="109"/>
        <v>0.94898332372080729</v>
      </c>
      <c r="AQ136" s="206">
        <f t="shared" si="110"/>
        <v>1.4551077630385711</v>
      </c>
      <c r="AR136" s="206">
        <f t="shared" si="111"/>
        <v>3.0218089420955812</v>
      </c>
      <c r="AS136" s="71">
        <f t="shared" si="112"/>
        <v>0.12000000000000001</v>
      </c>
      <c r="AT136" s="74">
        <f t="shared" si="113"/>
        <v>3.6299999999999995E-5</v>
      </c>
      <c r="AU136" s="73">
        <f t="shared" ref="AU136:AU157" si="120">AP136+AO136+AI136+AD136+AS136+AT136+AQ136+AR136</f>
        <v>16.994676693807271</v>
      </c>
      <c r="AV136" s="71">
        <f t="shared" ref="AV136:AV157" si="121">R136*S136</f>
        <v>276.06</v>
      </c>
      <c r="AW136" s="74">
        <f t="shared" ref="AW136:AW156" si="122">(AV136/(AV136+AU136))*100</f>
        <v>94.20085122491875</v>
      </c>
    </row>
    <row r="137" spans="17:49" x14ac:dyDescent="0.25">
      <c r="Q137">
        <v>130</v>
      </c>
      <c r="R137" s="73">
        <f t="shared" si="96"/>
        <v>53.5</v>
      </c>
      <c r="S137" s="71">
        <f t="shared" si="97"/>
        <v>5.2</v>
      </c>
      <c r="T137" s="71">
        <f t="shared" si="98"/>
        <v>11</v>
      </c>
      <c r="U137" s="74">
        <f t="shared" si="99"/>
        <v>25.290909090909089</v>
      </c>
      <c r="V137" s="73">
        <f>IF(Variable_Management!$B$20=3,2,IF((S137*R137/T137)&lt;((T137*(1-(T137/R137)))/(2*Lm*Fsw)),1,2))</f>
        <v>2</v>
      </c>
      <c r="W137" s="71">
        <f t="shared" si="100"/>
        <v>0.79439252336448596</v>
      </c>
      <c r="X137" s="74">
        <f t="shared" si="101"/>
        <v>0.20560747663551404</v>
      </c>
      <c r="Y137" s="73">
        <f t="shared" si="102"/>
        <v>5.8255451713395638</v>
      </c>
      <c r="Z137" s="71">
        <f t="shared" si="77"/>
        <v>28.203681676578871</v>
      </c>
      <c r="AA137" s="71">
        <f t="shared" si="78"/>
        <v>25.346758451984307</v>
      </c>
      <c r="AB137" s="71">
        <v>0</v>
      </c>
      <c r="AC137" s="71">
        <f t="shared" si="103"/>
        <v>1.4776537772534473</v>
      </c>
      <c r="AD137" s="74">
        <f t="shared" si="114"/>
        <v>1.4776537772534473</v>
      </c>
      <c r="AE137" s="73">
        <f t="shared" ref="AE137:AE157" si="123">U137*W137</f>
        <v>20.09090909090909</v>
      </c>
      <c r="AF137" s="71">
        <f t="shared" si="115"/>
        <v>22.591236399863881</v>
      </c>
      <c r="AG137" s="71">
        <f t="shared" si="104"/>
        <v>2.0414558482981389</v>
      </c>
      <c r="AH137" s="71">
        <f t="shared" si="105"/>
        <v>7.1821480634563395</v>
      </c>
      <c r="AI137" s="74">
        <f t="shared" si="116"/>
        <v>9.2236039117544788</v>
      </c>
      <c r="AJ137" s="73">
        <f t="shared" si="117"/>
        <v>5.2</v>
      </c>
      <c r="AK137" s="71">
        <f t="shared" si="106"/>
        <v>11.493224175517639</v>
      </c>
      <c r="AL137" s="71">
        <f t="shared" si="107"/>
        <v>0.52837680779481255</v>
      </c>
      <c r="AM137" s="71">
        <f t="shared" si="118"/>
        <v>0</v>
      </c>
      <c r="AN137" s="188">
        <f t="shared" si="108"/>
        <v>0.33844418011894645</v>
      </c>
      <c r="AO137" s="74">
        <f t="shared" si="119"/>
        <v>0.86682098791375894</v>
      </c>
      <c r="AP137" s="73">
        <f t="shared" si="109"/>
        <v>0.96368724603485689</v>
      </c>
      <c r="AQ137" s="206">
        <f t="shared" si="110"/>
        <v>1.4776537772534473</v>
      </c>
      <c r="AR137" s="206">
        <f t="shared" si="111"/>
        <v>3.0218089420955812</v>
      </c>
      <c r="AS137" s="71">
        <f t="shared" si="112"/>
        <v>0.12000000000000001</v>
      </c>
      <c r="AT137" s="74">
        <f t="shared" si="113"/>
        <v>3.6299999999999995E-5</v>
      </c>
      <c r="AU137" s="73">
        <f t="shared" si="120"/>
        <v>17.15126494230557</v>
      </c>
      <c r="AV137" s="71">
        <f t="shared" si="121"/>
        <v>278.2</v>
      </c>
      <c r="AW137" s="74">
        <f t="shared" si="122"/>
        <v>94.192926532528674</v>
      </c>
    </row>
    <row r="138" spans="17:49" x14ac:dyDescent="0.25">
      <c r="Q138">
        <v>131</v>
      </c>
      <c r="R138" s="73">
        <f t="shared" si="96"/>
        <v>53.5</v>
      </c>
      <c r="S138" s="71">
        <f t="shared" si="97"/>
        <v>5.24</v>
      </c>
      <c r="T138" s="71">
        <f t="shared" si="98"/>
        <v>11</v>
      </c>
      <c r="U138" s="74">
        <f t="shared" si="99"/>
        <v>25.485454545454548</v>
      </c>
      <c r="V138" s="73">
        <f>IF(Variable_Management!$B$20=3,2,IF((S138*R138/T138)&lt;((T138*(1-(T138/R138)))/(2*Lm*Fsw)),1,2))</f>
        <v>2</v>
      </c>
      <c r="W138" s="71">
        <f t="shared" si="100"/>
        <v>0.79439252336448596</v>
      </c>
      <c r="X138" s="74">
        <f t="shared" si="101"/>
        <v>0.20560747663551404</v>
      </c>
      <c r="Y138" s="73">
        <f t="shared" si="102"/>
        <v>5.8255451713395638</v>
      </c>
      <c r="Z138" s="71">
        <f t="shared" si="77"/>
        <v>28.39822713112433</v>
      </c>
      <c r="AA138" s="71">
        <f t="shared" si="78"/>
        <v>25.540878504214369</v>
      </c>
      <c r="AB138" s="71">
        <v>0</v>
      </c>
      <c r="AC138" s="71">
        <f t="shared" si="103"/>
        <v>1.5003738919641911</v>
      </c>
      <c r="AD138" s="74">
        <f t="shared" si="114"/>
        <v>1.5003738919641911</v>
      </c>
      <c r="AE138" s="73">
        <f t="shared" si="123"/>
        <v>20.245454545454546</v>
      </c>
      <c r="AF138" s="71">
        <f t="shared" si="115"/>
        <v>22.764253079617653</v>
      </c>
      <c r="AG138" s="71">
        <f t="shared" si="104"/>
        <v>2.072844873091527</v>
      </c>
      <c r="AH138" s="71">
        <f t="shared" si="105"/>
        <v>7.2373953562521587</v>
      </c>
      <c r="AI138" s="74">
        <f t="shared" si="116"/>
        <v>9.3102402293436857</v>
      </c>
      <c r="AJ138" s="73">
        <f t="shared" si="117"/>
        <v>5.2400000000000011</v>
      </c>
      <c r="AK138" s="71">
        <f t="shared" si="106"/>
        <v>11.581245895591618</v>
      </c>
      <c r="AL138" s="71">
        <f t="shared" si="107"/>
        <v>0.53650102597663085</v>
      </c>
      <c r="AM138" s="71">
        <f t="shared" si="118"/>
        <v>0</v>
      </c>
      <c r="AN138" s="188">
        <f t="shared" si="108"/>
        <v>0.34077872557349198</v>
      </c>
      <c r="AO138" s="74">
        <f t="shared" si="119"/>
        <v>0.87727975155012283</v>
      </c>
      <c r="AP138" s="73">
        <f t="shared" si="109"/>
        <v>0.97850471215055945</v>
      </c>
      <c r="AQ138" s="206">
        <f t="shared" si="110"/>
        <v>1.5003738919641911</v>
      </c>
      <c r="AR138" s="206">
        <f t="shared" si="111"/>
        <v>3.0218089420955812</v>
      </c>
      <c r="AS138" s="71">
        <f t="shared" si="112"/>
        <v>0.12000000000000001</v>
      </c>
      <c r="AT138" s="74">
        <f t="shared" si="113"/>
        <v>3.6299999999999995E-5</v>
      </c>
      <c r="AU138" s="73">
        <f t="shared" si="120"/>
        <v>17.30861771906833</v>
      </c>
      <c r="AV138" s="71">
        <f t="shared" si="121"/>
        <v>280.34000000000003</v>
      </c>
      <c r="AW138" s="74">
        <f t="shared" si="122"/>
        <v>94.184882210538319</v>
      </c>
    </row>
    <row r="139" spans="17:49" x14ac:dyDescent="0.25">
      <c r="Q139">
        <v>132</v>
      </c>
      <c r="R139" s="73">
        <f t="shared" si="96"/>
        <v>53.5</v>
      </c>
      <c r="S139" s="71">
        <f t="shared" si="97"/>
        <v>5.28</v>
      </c>
      <c r="T139" s="71">
        <f t="shared" si="98"/>
        <v>11</v>
      </c>
      <c r="U139" s="74">
        <f t="shared" si="99"/>
        <v>25.680000000000003</v>
      </c>
      <c r="V139" s="73">
        <f>IF(Variable_Management!$B$20=3,2,IF((S139*R139/T139)&lt;((T139*(1-(T139/R139)))/(2*Lm*Fsw)),1,2))</f>
        <v>2</v>
      </c>
      <c r="W139" s="71">
        <f t="shared" si="100"/>
        <v>0.79439252336448596</v>
      </c>
      <c r="X139" s="74">
        <f t="shared" si="101"/>
        <v>0.20560747663551404</v>
      </c>
      <c r="Y139" s="73">
        <f t="shared" si="102"/>
        <v>5.8255451713395638</v>
      </c>
      <c r="Z139" s="71">
        <f t="shared" si="77"/>
        <v>28.592772585669785</v>
      </c>
      <c r="AA139" s="71">
        <f t="shared" si="78"/>
        <v>25.735004981126579</v>
      </c>
      <c r="AB139" s="71">
        <v>0</v>
      </c>
      <c r="AC139" s="71">
        <f t="shared" si="103"/>
        <v>1.5232681071708025</v>
      </c>
      <c r="AD139" s="74">
        <f t="shared" si="114"/>
        <v>1.5232681071708025</v>
      </c>
      <c r="AE139" s="73">
        <f t="shared" si="123"/>
        <v>20.400000000000002</v>
      </c>
      <c r="AF139" s="71">
        <f t="shared" si="115"/>
        <v>22.937275485607135</v>
      </c>
      <c r="AG139" s="71">
        <f t="shared" si="104"/>
        <v>2.104474426810536</v>
      </c>
      <c r="AH139" s="71">
        <f t="shared" si="105"/>
        <v>7.2926426490479761</v>
      </c>
      <c r="AI139" s="74">
        <f t="shared" si="116"/>
        <v>9.3971170758585121</v>
      </c>
      <c r="AJ139" s="73">
        <f t="shared" si="117"/>
        <v>5.2800000000000011</v>
      </c>
      <c r="AK139" s="71">
        <f t="shared" si="106"/>
        <v>11.669270528870941</v>
      </c>
      <c r="AL139" s="71">
        <f t="shared" si="107"/>
        <v>0.54468749870390354</v>
      </c>
      <c r="AM139" s="71">
        <f t="shared" si="118"/>
        <v>0</v>
      </c>
      <c r="AN139" s="188">
        <f t="shared" si="108"/>
        <v>0.3431132710280374</v>
      </c>
      <c r="AO139" s="74">
        <f t="shared" si="119"/>
        <v>0.887800769731941</v>
      </c>
      <c r="AP139" s="73">
        <f t="shared" si="109"/>
        <v>0.99343572206791475</v>
      </c>
      <c r="AQ139" s="206">
        <f t="shared" si="110"/>
        <v>1.5232681071708025</v>
      </c>
      <c r="AR139" s="206">
        <f t="shared" si="111"/>
        <v>3.0218089420955812</v>
      </c>
      <c r="AS139" s="71">
        <f t="shared" si="112"/>
        <v>0.12000000000000001</v>
      </c>
      <c r="AT139" s="74">
        <f t="shared" si="113"/>
        <v>3.6299999999999995E-5</v>
      </c>
      <c r="AU139" s="73">
        <f t="shared" si="120"/>
        <v>17.466735024095552</v>
      </c>
      <c r="AV139" s="71">
        <f t="shared" si="121"/>
        <v>282.48</v>
      </c>
      <c r="AW139" s="74">
        <f t="shared" si="122"/>
        <v>94.176721069261717</v>
      </c>
    </row>
    <row r="140" spans="17:49" x14ac:dyDescent="0.25">
      <c r="Q140">
        <v>133</v>
      </c>
      <c r="R140" s="73">
        <f t="shared" si="96"/>
        <v>53.5</v>
      </c>
      <c r="S140" s="71">
        <f t="shared" si="97"/>
        <v>5.32</v>
      </c>
      <c r="T140" s="71">
        <f t="shared" si="98"/>
        <v>11</v>
      </c>
      <c r="U140" s="74">
        <f t="shared" si="99"/>
        <v>25.874545454545455</v>
      </c>
      <c r="V140" s="73">
        <f>IF(Variable_Management!$B$20=3,2,IF((S140*R140/T140)&lt;((T140*(1-(T140/R140)))/(2*Lm*Fsw)),1,2))</f>
        <v>2</v>
      </c>
      <c r="W140" s="71">
        <f t="shared" si="100"/>
        <v>0.79439252336448596</v>
      </c>
      <c r="X140" s="74">
        <f t="shared" si="101"/>
        <v>0.20560747663551404</v>
      </c>
      <c r="Y140" s="73">
        <f t="shared" si="102"/>
        <v>5.8255451713395638</v>
      </c>
      <c r="Z140" s="71">
        <f t="shared" si="77"/>
        <v>28.787318040215236</v>
      </c>
      <c r="AA140" s="71">
        <f t="shared" si="78"/>
        <v>25.929137738419854</v>
      </c>
      <c r="AB140" s="71">
        <v>0</v>
      </c>
      <c r="AC140" s="71">
        <f t="shared" si="103"/>
        <v>1.5463364228732819</v>
      </c>
      <c r="AD140" s="74">
        <f t="shared" si="114"/>
        <v>1.5463364228732819</v>
      </c>
      <c r="AE140" s="73">
        <f t="shared" si="123"/>
        <v>20.554545454545455</v>
      </c>
      <c r="AF140" s="71">
        <f t="shared" si="115"/>
        <v>23.110303489218634</v>
      </c>
      <c r="AG140" s="71">
        <f t="shared" si="104"/>
        <v>2.1363445094551641</v>
      </c>
      <c r="AH140" s="71">
        <f t="shared" si="105"/>
        <v>7.3478899418437935</v>
      </c>
      <c r="AI140" s="74">
        <f t="shared" si="116"/>
        <v>9.484234451298958</v>
      </c>
      <c r="AJ140" s="73">
        <f t="shared" si="117"/>
        <v>5.32</v>
      </c>
      <c r="AK140" s="71">
        <f t="shared" si="106"/>
        <v>11.757298009923781</v>
      </c>
      <c r="AL140" s="71">
        <f t="shared" si="107"/>
        <v>0.55293622597663084</v>
      </c>
      <c r="AM140" s="71">
        <f t="shared" si="118"/>
        <v>0</v>
      </c>
      <c r="AN140" s="188">
        <f t="shared" si="108"/>
        <v>0.34544781648258283</v>
      </c>
      <c r="AO140" s="74">
        <f t="shared" si="119"/>
        <v>0.89838404245921366</v>
      </c>
      <c r="AP140" s="73">
        <f t="shared" si="109"/>
        <v>1.0084802757869231</v>
      </c>
      <c r="AQ140" s="206">
        <f t="shared" si="110"/>
        <v>1.5463364228732819</v>
      </c>
      <c r="AR140" s="206">
        <f t="shared" si="111"/>
        <v>3.0218089420955812</v>
      </c>
      <c r="AS140" s="71">
        <f t="shared" si="112"/>
        <v>0.12000000000000001</v>
      </c>
      <c r="AT140" s="74">
        <f t="shared" si="113"/>
        <v>3.6299999999999995E-5</v>
      </c>
      <c r="AU140" s="73">
        <f t="shared" si="120"/>
        <v>17.625616857387239</v>
      </c>
      <c r="AV140" s="71">
        <f t="shared" si="121"/>
        <v>284.62</v>
      </c>
      <c r="AW140" s="74">
        <f t="shared" si="122"/>
        <v>94.168445835327447</v>
      </c>
    </row>
    <row r="141" spans="17:49" x14ac:dyDescent="0.25">
      <c r="Q141">
        <v>134</v>
      </c>
      <c r="R141" s="73">
        <f t="shared" si="96"/>
        <v>53.5</v>
      </c>
      <c r="S141" s="71">
        <f t="shared" si="97"/>
        <v>5.36</v>
      </c>
      <c r="T141" s="71">
        <f t="shared" si="98"/>
        <v>11</v>
      </c>
      <c r="U141" s="74">
        <f t="shared" si="99"/>
        <v>26.069090909090907</v>
      </c>
      <c r="V141" s="73">
        <f>IF(Variable_Management!$B$20=3,2,IF((S141*R141/T141)&lt;((T141*(1-(T141/R141)))/(2*Lm*Fsw)),1,2))</f>
        <v>2</v>
      </c>
      <c r="W141" s="71">
        <f t="shared" si="100"/>
        <v>0.79439252336448596</v>
      </c>
      <c r="X141" s="74">
        <f t="shared" si="101"/>
        <v>0.20560747663551404</v>
      </c>
      <c r="Y141" s="73">
        <f t="shared" si="102"/>
        <v>5.8255451713395638</v>
      </c>
      <c r="Z141" s="71">
        <f t="shared" si="77"/>
        <v>28.981863494760688</v>
      </c>
      <c r="AA141" s="71">
        <f t="shared" si="78"/>
        <v>26.123276636077946</v>
      </c>
      <c r="AB141" s="71">
        <v>0</v>
      </c>
      <c r="AC141" s="71">
        <f t="shared" si="103"/>
        <v>1.5695788390716285</v>
      </c>
      <c r="AD141" s="74">
        <f t="shared" si="114"/>
        <v>1.5695788390716285</v>
      </c>
      <c r="AE141" s="73">
        <f t="shared" si="123"/>
        <v>20.709090909090907</v>
      </c>
      <c r="AF141" s="71">
        <f t="shared" si="115"/>
        <v>23.283336965657497</v>
      </c>
      <c r="AG141" s="71">
        <f t="shared" si="104"/>
        <v>2.1684551210254117</v>
      </c>
      <c r="AH141" s="71">
        <f t="shared" si="105"/>
        <v>7.4031372346396118</v>
      </c>
      <c r="AI141" s="74">
        <f t="shared" si="116"/>
        <v>9.5715923556650235</v>
      </c>
      <c r="AJ141" s="73">
        <f t="shared" si="117"/>
        <v>5.36</v>
      </c>
      <c r="AK141" s="71">
        <f t="shared" si="106"/>
        <v>11.845328275261227</v>
      </c>
      <c r="AL141" s="71">
        <f t="shared" si="107"/>
        <v>0.56124720779481252</v>
      </c>
      <c r="AM141" s="71">
        <f t="shared" si="118"/>
        <v>0</v>
      </c>
      <c r="AN141" s="188">
        <f t="shared" si="108"/>
        <v>0.34778236193712825</v>
      </c>
      <c r="AO141" s="74">
        <f t="shared" si="119"/>
        <v>0.90902956973194082</v>
      </c>
      <c r="AP141" s="73">
        <f t="shared" si="109"/>
        <v>1.0236383733075838</v>
      </c>
      <c r="AQ141" s="206">
        <f t="shared" si="110"/>
        <v>1.5695788390716285</v>
      </c>
      <c r="AR141" s="206">
        <f t="shared" si="111"/>
        <v>3.0218089420955812</v>
      </c>
      <c r="AS141" s="71">
        <f t="shared" si="112"/>
        <v>0.12000000000000001</v>
      </c>
      <c r="AT141" s="74">
        <f t="shared" si="113"/>
        <v>3.6299999999999995E-5</v>
      </c>
      <c r="AU141" s="73">
        <f t="shared" si="120"/>
        <v>17.785263218943385</v>
      </c>
      <c r="AV141" s="71">
        <f t="shared" si="121"/>
        <v>286.76</v>
      </c>
      <c r="AW141" s="74">
        <f t="shared" si="122"/>
        <v>94.160059154767666</v>
      </c>
    </row>
    <row r="142" spans="17:49" x14ac:dyDescent="0.25">
      <c r="Q142">
        <v>135</v>
      </c>
      <c r="R142" s="73">
        <f t="shared" si="96"/>
        <v>53.5</v>
      </c>
      <c r="S142" s="71">
        <f t="shared" si="97"/>
        <v>5.4</v>
      </c>
      <c r="T142" s="71">
        <f t="shared" si="98"/>
        <v>11</v>
      </c>
      <c r="U142" s="74">
        <f t="shared" si="99"/>
        <v>26.263636363636365</v>
      </c>
      <c r="V142" s="73">
        <f>IF(Variable_Management!$B$20=3,2,IF((S142*R142/T142)&lt;((T142*(1-(T142/R142)))/(2*Lm*Fsw)),1,2))</f>
        <v>2</v>
      </c>
      <c r="W142" s="71">
        <f t="shared" si="100"/>
        <v>0.79439252336448596</v>
      </c>
      <c r="X142" s="74">
        <f t="shared" si="101"/>
        <v>0.20560747663551404</v>
      </c>
      <c r="Y142" s="73">
        <f t="shared" si="102"/>
        <v>5.8255451713395638</v>
      </c>
      <c r="Z142" s="71">
        <f t="shared" si="77"/>
        <v>29.176408949306147</v>
      </c>
      <c r="AA142" s="71">
        <f t="shared" si="78"/>
        <v>26.317421538211761</v>
      </c>
      <c r="AB142" s="71">
        <v>0</v>
      </c>
      <c r="AC142" s="71">
        <f t="shared" si="103"/>
        <v>1.5929953557658443</v>
      </c>
      <c r="AD142" s="74">
        <f t="shared" si="114"/>
        <v>1.5929953557658443</v>
      </c>
      <c r="AE142" s="73">
        <f t="shared" si="123"/>
        <v>20.863636363636363</v>
      </c>
      <c r="AF142" s="71">
        <f t="shared" si="115"/>
        <v>23.456375793807531</v>
      </c>
      <c r="AG142" s="71">
        <f t="shared" si="104"/>
        <v>2.2008062615212793</v>
      </c>
      <c r="AH142" s="71">
        <f t="shared" si="105"/>
        <v>7.4583845274354301</v>
      </c>
      <c r="AI142" s="74">
        <f t="shared" si="116"/>
        <v>9.6591907889567103</v>
      </c>
      <c r="AJ142" s="73">
        <f t="shared" si="117"/>
        <v>5.4000000000000012</v>
      </c>
      <c r="AK142" s="71">
        <f t="shared" si="106"/>
        <v>11.933361263265779</v>
      </c>
      <c r="AL142" s="71">
        <f t="shared" si="107"/>
        <v>0.56962044415844892</v>
      </c>
      <c r="AM142" s="71">
        <f t="shared" si="118"/>
        <v>0</v>
      </c>
      <c r="AN142" s="188">
        <f t="shared" si="108"/>
        <v>0.35011690739167378</v>
      </c>
      <c r="AO142" s="74">
        <f t="shared" si="119"/>
        <v>0.91973735155012271</v>
      </c>
      <c r="AP142" s="73">
        <f t="shared" si="109"/>
        <v>1.0389100146298986</v>
      </c>
      <c r="AQ142" s="206">
        <f t="shared" si="110"/>
        <v>1.5929953557658443</v>
      </c>
      <c r="AR142" s="206">
        <f t="shared" si="111"/>
        <v>3.0218089420955812</v>
      </c>
      <c r="AS142" s="71">
        <f t="shared" si="112"/>
        <v>0.12000000000000001</v>
      </c>
      <c r="AT142" s="74">
        <f t="shared" si="113"/>
        <v>3.6299999999999995E-5</v>
      </c>
      <c r="AU142" s="73">
        <f t="shared" si="120"/>
        <v>17.945674108763999</v>
      </c>
      <c r="AV142" s="71">
        <f t="shared" si="121"/>
        <v>288.90000000000003</v>
      </c>
      <c r="AW142" s="74">
        <f t="shared" si="122"/>
        <v>94.151563595971368</v>
      </c>
    </row>
    <row r="143" spans="17:49" x14ac:dyDescent="0.25">
      <c r="Q143">
        <v>136</v>
      </c>
      <c r="R143" s="73">
        <f t="shared" si="96"/>
        <v>53.5</v>
      </c>
      <c r="S143" s="71">
        <f t="shared" si="97"/>
        <v>5.44</v>
      </c>
      <c r="T143" s="71">
        <f t="shared" si="98"/>
        <v>11</v>
      </c>
      <c r="U143" s="74">
        <f t="shared" si="99"/>
        <v>26.458181818181821</v>
      </c>
      <c r="V143" s="73">
        <f>IF(Variable_Management!$B$20=3,2,IF((S143*R143/T143)&lt;((T143*(1-(T143/R143)))/(2*Lm*Fsw)),1,2))</f>
        <v>2</v>
      </c>
      <c r="W143" s="71">
        <f t="shared" si="100"/>
        <v>0.79439252336448596</v>
      </c>
      <c r="X143" s="74">
        <f t="shared" si="101"/>
        <v>0.20560747663551404</v>
      </c>
      <c r="Y143" s="73">
        <f t="shared" si="102"/>
        <v>5.8255451713395638</v>
      </c>
      <c r="Z143" s="71">
        <f t="shared" si="77"/>
        <v>29.370954403851602</v>
      </c>
      <c r="AA143" s="71">
        <f t="shared" si="78"/>
        <v>26.511572312908505</v>
      </c>
      <c r="AB143" s="71">
        <v>0</v>
      </c>
      <c r="AC143" s="71">
        <f t="shared" si="103"/>
        <v>1.6165859729559269</v>
      </c>
      <c r="AD143" s="74">
        <f t="shared" si="114"/>
        <v>1.6165859729559269</v>
      </c>
      <c r="AE143" s="73">
        <f t="shared" si="123"/>
        <v>21.018181818181819</v>
      </c>
      <c r="AF143" s="71">
        <f t="shared" si="115"/>
        <v>23.62941985609659</v>
      </c>
      <c r="AG143" s="71">
        <f t="shared" si="104"/>
        <v>2.2333979309427674</v>
      </c>
      <c r="AH143" s="71">
        <f t="shared" si="105"/>
        <v>7.5136318202312493</v>
      </c>
      <c r="AI143" s="74">
        <f t="shared" si="116"/>
        <v>9.7470297511740167</v>
      </c>
      <c r="AJ143" s="73">
        <f t="shared" si="117"/>
        <v>5.4400000000000013</v>
      </c>
      <c r="AK143" s="71">
        <f t="shared" si="106"/>
        <v>12.021396914122958</v>
      </c>
      <c r="AL143" s="71">
        <f t="shared" si="107"/>
        <v>0.57805593506753983</v>
      </c>
      <c r="AM143" s="71">
        <f t="shared" si="118"/>
        <v>0</v>
      </c>
      <c r="AN143" s="188">
        <f t="shared" si="108"/>
        <v>0.35245145284621926</v>
      </c>
      <c r="AO143" s="74">
        <f t="shared" si="119"/>
        <v>0.93050738791375909</v>
      </c>
      <c r="AP143" s="73">
        <f t="shared" si="109"/>
        <v>1.0542951997538654</v>
      </c>
      <c r="AQ143" s="206">
        <f t="shared" si="110"/>
        <v>1.6165859729559269</v>
      </c>
      <c r="AR143" s="206">
        <f t="shared" si="111"/>
        <v>3.0218089420955812</v>
      </c>
      <c r="AS143" s="71">
        <f t="shared" si="112"/>
        <v>0.12000000000000001</v>
      </c>
      <c r="AT143" s="74">
        <f t="shared" si="113"/>
        <v>3.6299999999999995E-5</v>
      </c>
      <c r="AU143" s="73">
        <f t="shared" si="120"/>
        <v>18.106849526849075</v>
      </c>
      <c r="AV143" s="71">
        <f t="shared" si="121"/>
        <v>291.04000000000002</v>
      </c>
      <c r="AW143" s="74">
        <f t="shared" si="122"/>
        <v>94.142961652508589</v>
      </c>
    </row>
    <row r="144" spans="17:49" x14ac:dyDescent="0.25">
      <c r="Q144">
        <v>137</v>
      </c>
      <c r="R144" s="73">
        <f t="shared" si="96"/>
        <v>53.5</v>
      </c>
      <c r="S144" s="71">
        <f t="shared" si="97"/>
        <v>5.48</v>
      </c>
      <c r="T144" s="71">
        <f t="shared" si="98"/>
        <v>11</v>
      </c>
      <c r="U144" s="74">
        <f t="shared" si="99"/>
        <v>26.652727272727272</v>
      </c>
      <c r="V144" s="73">
        <f>IF(Variable_Management!$B$20=3,2,IF((S144*R144/T144)&lt;((T144*(1-(T144/R144)))/(2*Lm*Fsw)),1,2))</f>
        <v>2</v>
      </c>
      <c r="W144" s="71">
        <f t="shared" si="100"/>
        <v>0.79439252336448596</v>
      </c>
      <c r="X144" s="74">
        <f t="shared" si="101"/>
        <v>0.20560747663551404</v>
      </c>
      <c r="Y144" s="73">
        <f t="shared" si="102"/>
        <v>5.8255451713395638</v>
      </c>
      <c r="Z144" s="71">
        <f t="shared" ref="Z144:Z157" si="124">CHOOSE(V144,Y144,U144+(0.5*Y144))</f>
        <v>29.565499858397054</v>
      </c>
      <c r="AA144" s="71">
        <f t="shared" ref="AA144:AA157" si="125">CHOOSE(V144,Z144*SQRT((W144+X144)/3),SQRT((U144^2)+((Y144^2)/12)))</f>
        <v>26.705728832087505</v>
      </c>
      <c r="AB144" s="71">
        <v>0</v>
      </c>
      <c r="AC144" s="71">
        <f t="shared" si="103"/>
        <v>1.6403506906418768</v>
      </c>
      <c r="AD144" s="74">
        <f t="shared" si="114"/>
        <v>1.6403506906418768</v>
      </c>
      <c r="AE144" s="73">
        <f t="shared" si="123"/>
        <v>21.172727272727272</v>
      </c>
      <c r="AF144" s="71">
        <f t="shared" si="115"/>
        <v>23.802469038368027</v>
      </c>
      <c r="AG144" s="71">
        <f t="shared" si="104"/>
        <v>2.2662301292898741</v>
      </c>
      <c r="AH144" s="71">
        <f t="shared" si="105"/>
        <v>7.5688791130270667</v>
      </c>
      <c r="AI144" s="74">
        <f t="shared" si="116"/>
        <v>9.8351092423169408</v>
      </c>
      <c r="AJ144" s="73">
        <f t="shared" si="117"/>
        <v>5.48</v>
      </c>
      <c r="AK144" s="71">
        <f t="shared" si="106"/>
        <v>12.109435169755908</v>
      </c>
      <c r="AL144" s="71">
        <f t="shared" si="107"/>
        <v>0.58655368052208523</v>
      </c>
      <c r="AM144" s="71">
        <f t="shared" si="118"/>
        <v>0</v>
      </c>
      <c r="AN144" s="188">
        <f t="shared" si="108"/>
        <v>0.35478599830076463</v>
      </c>
      <c r="AO144" s="74">
        <f t="shared" si="119"/>
        <v>0.94133967882284986</v>
      </c>
      <c r="AP144" s="73">
        <f t="shared" si="109"/>
        <v>1.0697939286794849</v>
      </c>
      <c r="AQ144" s="206">
        <f t="shared" si="110"/>
        <v>1.6403506906418768</v>
      </c>
      <c r="AR144" s="206">
        <f t="shared" si="111"/>
        <v>3.0218089420955812</v>
      </c>
      <c r="AS144" s="71">
        <f t="shared" si="112"/>
        <v>0.12000000000000001</v>
      </c>
      <c r="AT144" s="74">
        <f t="shared" si="113"/>
        <v>3.6299999999999995E-5</v>
      </c>
      <c r="AU144" s="73">
        <f t="shared" si="120"/>
        <v>18.268789473198613</v>
      </c>
      <c r="AV144" s="71">
        <f t="shared" si="121"/>
        <v>293.18</v>
      </c>
      <c r="AW144" s="74">
        <f t="shared" si="122"/>
        <v>94.134255745832419</v>
      </c>
    </row>
    <row r="145" spans="17:49" x14ac:dyDescent="0.25">
      <c r="Q145">
        <v>138</v>
      </c>
      <c r="R145" s="73">
        <f t="shared" si="96"/>
        <v>53.5</v>
      </c>
      <c r="S145" s="71">
        <f t="shared" si="97"/>
        <v>5.5200000000000005</v>
      </c>
      <c r="T145" s="71">
        <f t="shared" si="98"/>
        <v>11</v>
      </c>
      <c r="U145" s="74">
        <f t="shared" si="99"/>
        <v>26.847272727272731</v>
      </c>
      <c r="V145" s="73">
        <f>IF(Variable_Management!$B$20=3,2,IF((S145*R145/T145)&lt;((T145*(1-(T145/R145)))/(2*Lm*Fsw)),1,2))</f>
        <v>2</v>
      </c>
      <c r="W145" s="71">
        <f t="shared" si="100"/>
        <v>0.79439252336448596</v>
      </c>
      <c r="X145" s="74">
        <f t="shared" si="101"/>
        <v>0.20560747663551404</v>
      </c>
      <c r="Y145" s="73">
        <f t="shared" si="102"/>
        <v>5.8255451713395638</v>
      </c>
      <c r="Z145" s="71">
        <f t="shared" si="124"/>
        <v>29.760045312942513</v>
      </c>
      <c r="AA145" s="71">
        <f t="shared" si="125"/>
        <v>26.899890971362172</v>
      </c>
      <c r="AB145" s="71">
        <v>0</v>
      </c>
      <c r="AC145" s="71">
        <f t="shared" si="103"/>
        <v>1.664289508823696</v>
      </c>
      <c r="AD145" s="74">
        <f t="shared" si="114"/>
        <v>1.664289508823696</v>
      </c>
      <c r="AE145" s="73">
        <f t="shared" si="123"/>
        <v>21.327272727272728</v>
      </c>
      <c r="AF145" s="71">
        <f t="shared" si="115"/>
        <v>23.975523229757687</v>
      </c>
      <c r="AG145" s="71">
        <f t="shared" si="104"/>
        <v>2.2993028565626017</v>
      </c>
      <c r="AH145" s="71">
        <f t="shared" si="105"/>
        <v>7.624126405822885</v>
      </c>
      <c r="AI145" s="74">
        <f t="shared" si="116"/>
        <v>9.9234292623854863</v>
      </c>
      <c r="AJ145" s="73">
        <f t="shared" si="117"/>
        <v>5.5200000000000014</v>
      </c>
      <c r="AK145" s="71">
        <f t="shared" si="106"/>
        <v>12.197475973762824</v>
      </c>
      <c r="AL145" s="71">
        <f t="shared" si="107"/>
        <v>0.59511368052208535</v>
      </c>
      <c r="AM145" s="71">
        <f t="shared" si="118"/>
        <v>0</v>
      </c>
      <c r="AN145" s="188">
        <f t="shared" si="108"/>
        <v>0.35712054375531016</v>
      </c>
      <c r="AO145" s="74">
        <f t="shared" si="119"/>
        <v>0.95223422427739557</v>
      </c>
      <c r="AP145" s="73">
        <f t="shared" si="109"/>
        <v>1.0854062014067583</v>
      </c>
      <c r="AQ145" s="206">
        <f t="shared" si="110"/>
        <v>1.664289508823696</v>
      </c>
      <c r="AR145" s="206">
        <f t="shared" si="111"/>
        <v>3.0218089420955812</v>
      </c>
      <c r="AS145" s="71">
        <f t="shared" si="112"/>
        <v>0.12000000000000001</v>
      </c>
      <c r="AT145" s="74">
        <f t="shared" si="113"/>
        <v>3.6299999999999995E-5</v>
      </c>
      <c r="AU145" s="73">
        <f t="shared" si="120"/>
        <v>18.431493947812612</v>
      </c>
      <c r="AV145" s="71">
        <f t="shared" si="121"/>
        <v>295.32000000000005</v>
      </c>
      <c r="AW145" s="74">
        <f t="shared" si="122"/>
        <v>94.125448227864567</v>
      </c>
    </row>
    <row r="146" spans="17:49" x14ac:dyDescent="0.25">
      <c r="Q146">
        <v>139</v>
      </c>
      <c r="R146" s="73">
        <f t="shared" si="96"/>
        <v>53.5</v>
      </c>
      <c r="S146" s="71">
        <f t="shared" si="97"/>
        <v>5.5600000000000005</v>
      </c>
      <c r="T146" s="71">
        <f t="shared" si="98"/>
        <v>11</v>
      </c>
      <c r="U146" s="74">
        <f t="shared" si="99"/>
        <v>27.041818181818186</v>
      </c>
      <c r="V146" s="73">
        <f>IF(Variable_Management!$B$20=3,2,IF((S146*R146/T146)&lt;((T146*(1-(T146/R146)))/(2*Lm*Fsw)),1,2))</f>
        <v>2</v>
      </c>
      <c r="W146" s="71">
        <f t="shared" si="100"/>
        <v>0.79439252336448596</v>
      </c>
      <c r="X146" s="74">
        <f t="shared" si="101"/>
        <v>0.20560747663551404</v>
      </c>
      <c r="Y146" s="73">
        <f t="shared" si="102"/>
        <v>5.8255451713395638</v>
      </c>
      <c r="Z146" s="71">
        <f t="shared" si="124"/>
        <v>29.954590767487968</v>
      </c>
      <c r="AA146" s="71">
        <f t="shared" si="125"/>
        <v>27.094058609907865</v>
      </c>
      <c r="AB146" s="71">
        <v>0</v>
      </c>
      <c r="AC146" s="71">
        <f t="shared" si="103"/>
        <v>1.6884024275013818</v>
      </c>
      <c r="AD146" s="74">
        <f t="shared" si="114"/>
        <v>1.6884024275013818</v>
      </c>
      <c r="AE146" s="73">
        <f t="shared" si="123"/>
        <v>21.481818181818184</v>
      </c>
      <c r="AF146" s="71">
        <f t="shared" si="115"/>
        <v>24.14858232257615</v>
      </c>
      <c r="AG146" s="71">
        <f t="shared" si="104"/>
        <v>2.3326161127609493</v>
      </c>
      <c r="AH146" s="71">
        <f t="shared" si="105"/>
        <v>7.6793736986187033</v>
      </c>
      <c r="AI146" s="74">
        <f t="shared" si="116"/>
        <v>10.011989811379653</v>
      </c>
      <c r="AJ146" s="73">
        <f t="shared" si="117"/>
        <v>5.5600000000000014</v>
      </c>
      <c r="AK146" s="71">
        <f t="shared" si="106"/>
        <v>12.28551927135703</v>
      </c>
      <c r="AL146" s="71">
        <f t="shared" si="107"/>
        <v>0.60373593506753997</v>
      </c>
      <c r="AM146" s="71">
        <f t="shared" si="118"/>
        <v>0</v>
      </c>
      <c r="AN146" s="188">
        <f t="shared" si="108"/>
        <v>0.35945508920985564</v>
      </c>
      <c r="AO146" s="74">
        <f t="shared" si="119"/>
        <v>0.96319102427739556</v>
      </c>
      <c r="AP146" s="73">
        <f t="shared" si="109"/>
        <v>1.1011320179356838</v>
      </c>
      <c r="AQ146" s="206">
        <f t="shared" si="110"/>
        <v>1.6884024275013818</v>
      </c>
      <c r="AR146" s="206">
        <f t="shared" si="111"/>
        <v>3.0218089420955812</v>
      </c>
      <c r="AS146" s="71">
        <f t="shared" si="112"/>
        <v>0.12000000000000001</v>
      </c>
      <c r="AT146" s="74">
        <f t="shared" si="113"/>
        <v>3.6299999999999995E-5</v>
      </c>
      <c r="AU146" s="73">
        <f t="shared" si="120"/>
        <v>18.594962950691077</v>
      </c>
      <c r="AV146" s="71">
        <f t="shared" si="121"/>
        <v>297.46000000000004</v>
      </c>
      <c r="AW146" s="74">
        <f t="shared" si="122"/>
        <v>94.116541383470647</v>
      </c>
    </row>
    <row r="147" spans="17:49" x14ac:dyDescent="0.25">
      <c r="Q147">
        <v>140</v>
      </c>
      <c r="R147" s="73">
        <f t="shared" si="96"/>
        <v>53.5</v>
      </c>
      <c r="S147" s="71">
        <f t="shared" si="97"/>
        <v>5.6000000000000005</v>
      </c>
      <c r="T147" s="71">
        <f t="shared" si="98"/>
        <v>11</v>
      </c>
      <c r="U147" s="74">
        <f t="shared" si="99"/>
        <v>27.236363636363638</v>
      </c>
      <c r="V147" s="73">
        <f>IF(Variable_Management!$B$20=3,2,IF((S147*R147/T147)&lt;((T147*(1-(T147/R147)))/(2*Lm*Fsw)),1,2))</f>
        <v>2</v>
      </c>
      <c r="W147" s="71">
        <f t="shared" si="100"/>
        <v>0.79439252336448596</v>
      </c>
      <c r="X147" s="74">
        <f t="shared" si="101"/>
        <v>0.20560747663551404</v>
      </c>
      <c r="Y147" s="73">
        <f t="shared" si="102"/>
        <v>5.8255451713395638</v>
      </c>
      <c r="Z147" s="71">
        <f t="shared" si="124"/>
        <v>30.14913622203342</v>
      </c>
      <c r="AA147" s="71">
        <f t="shared" si="125"/>
        <v>27.288231630335471</v>
      </c>
      <c r="AB147" s="71">
        <v>0</v>
      </c>
      <c r="AC147" s="71">
        <f t="shared" si="103"/>
        <v>1.7126894466749349</v>
      </c>
      <c r="AD147" s="74">
        <f t="shared" si="114"/>
        <v>1.7126894466749349</v>
      </c>
      <c r="AE147" s="73">
        <f t="shared" si="123"/>
        <v>21.636363636363637</v>
      </c>
      <c r="AF147" s="71">
        <f t="shared" si="115"/>
        <v>24.321646212196022</v>
      </c>
      <c r="AG147" s="71">
        <f t="shared" si="104"/>
        <v>2.3661698978849164</v>
      </c>
      <c r="AH147" s="71">
        <f t="shared" si="105"/>
        <v>7.7346209914145216</v>
      </c>
      <c r="AI147" s="74">
        <f t="shared" si="116"/>
        <v>10.100790889299438</v>
      </c>
      <c r="AJ147" s="73">
        <f t="shared" si="117"/>
        <v>5.6000000000000014</v>
      </c>
      <c r="AK147" s="71">
        <f t="shared" si="106"/>
        <v>12.373565009309655</v>
      </c>
      <c r="AL147" s="71">
        <f t="shared" si="107"/>
        <v>0.61242044415844898</v>
      </c>
      <c r="AM147" s="71">
        <f t="shared" si="118"/>
        <v>0</v>
      </c>
      <c r="AN147" s="188">
        <f t="shared" si="108"/>
        <v>0.36178963466440106</v>
      </c>
      <c r="AO147" s="74">
        <f t="shared" si="119"/>
        <v>0.97421007882285005</v>
      </c>
      <c r="AP147" s="73">
        <f t="shared" si="109"/>
        <v>1.116971378266262</v>
      </c>
      <c r="AQ147" s="206">
        <f t="shared" si="110"/>
        <v>1.7126894466749349</v>
      </c>
      <c r="AR147" s="206">
        <f t="shared" si="111"/>
        <v>3.0218089420955812</v>
      </c>
      <c r="AS147" s="71">
        <f t="shared" si="112"/>
        <v>0.12000000000000001</v>
      </c>
      <c r="AT147" s="74">
        <f t="shared" si="113"/>
        <v>3.6299999999999995E-5</v>
      </c>
      <c r="AU147" s="73">
        <f t="shared" si="120"/>
        <v>18.759196481834</v>
      </c>
      <c r="AV147" s="71">
        <f t="shared" si="121"/>
        <v>299.60000000000002</v>
      </c>
      <c r="AW147" s="74">
        <f t="shared" si="122"/>
        <v>94.107537432830384</v>
      </c>
    </row>
    <row r="148" spans="17:49" x14ac:dyDescent="0.25">
      <c r="Q148">
        <v>141</v>
      </c>
      <c r="R148" s="73">
        <f t="shared" si="96"/>
        <v>53.5</v>
      </c>
      <c r="S148" s="71">
        <f t="shared" si="97"/>
        <v>5.64</v>
      </c>
      <c r="T148" s="71">
        <f t="shared" si="98"/>
        <v>11</v>
      </c>
      <c r="U148" s="74">
        <f t="shared" si="99"/>
        <v>27.430909090909093</v>
      </c>
      <c r="V148" s="73">
        <f>IF(Variable_Management!$B$20=3,2,IF((S148*R148/T148)&lt;((T148*(1-(T148/R148)))/(2*Lm*Fsw)),1,2))</f>
        <v>2</v>
      </c>
      <c r="W148" s="71">
        <f t="shared" si="100"/>
        <v>0.79439252336448596</v>
      </c>
      <c r="X148" s="74">
        <f t="shared" si="101"/>
        <v>0.20560747663551404</v>
      </c>
      <c r="Y148" s="73">
        <f t="shared" si="102"/>
        <v>5.8255451713395638</v>
      </c>
      <c r="Z148" s="71">
        <f t="shared" si="124"/>
        <v>30.343681676578875</v>
      </c>
      <c r="AA148" s="71">
        <f t="shared" si="125"/>
        <v>27.482409918570259</v>
      </c>
      <c r="AB148" s="71">
        <v>0</v>
      </c>
      <c r="AC148" s="71">
        <f t="shared" si="103"/>
        <v>1.7371505663443567</v>
      </c>
      <c r="AD148" s="74">
        <f t="shared" si="114"/>
        <v>1.7371505663443567</v>
      </c>
      <c r="AE148" s="73">
        <f t="shared" si="123"/>
        <v>21.790909090909093</v>
      </c>
      <c r="AF148" s="71">
        <f t="shared" si="115"/>
        <v>24.494714796943967</v>
      </c>
      <c r="AG148" s="71">
        <f t="shared" si="104"/>
        <v>2.399964211934503</v>
      </c>
      <c r="AH148" s="71">
        <f t="shared" si="105"/>
        <v>7.7898682842103391</v>
      </c>
      <c r="AI148" s="74">
        <f t="shared" si="116"/>
        <v>10.189832496144842</v>
      </c>
      <c r="AJ148" s="73">
        <f t="shared" si="117"/>
        <v>5.6400000000000015</v>
      </c>
      <c r="AK148" s="71">
        <f t="shared" si="106"/>
        <v>12.461613135894693</v>
      </c>
      <c r="AL148" s="71">
        <f t="shared" si="107"/>
        <v>0.6211672077948126</v>
      </c>
      <c r="AM148" s="71">
        <f t="shared" si="118"/>
        <v>0</v>
      </c>
      <c r="AN148" s="188">
        <f t="shared" si="108"/>
        <v>0.36412418011894648</v>
      </c>
      <c r="AO148" s="74">
        <f t="shared" si="119"/>
        <v>0.98529138791375903</v>
      </c>
      <c r="AP148" s="73">
        <f t="shared" si="109"/>
        <v>1.1329242823984935</v>
      </c>
      <c r="AQ148" s="206">
        <f t="shared" si="110"/>
        <v>1.7371505663443567</v>
      </c>
      <c r="AR148" s="206">
        <f t="shared" si="111"/>
        <v>3.0218089420955812</v>
      </c>
      <c r="AS148" s="71">
        <f t="shared" si="112"/>
        <v>0.12000000000000001</v>
      </c>
      <c r="AT148" s="74">
        <f t="shared" si="113"/>
        <v>3.6299999999999995E-5</v>
      </c>
      <c r="AU148" s="73">
        <f t="shared" si="120"/>
        <v>18.924194541241388</v>
      </c>
      <c r="AV148" s="71">
        <f t="shared" si="121"/>
        <v>301.74</v>
      </c>
      <c r="AW148" s="74">
        <f t="shared" si="122"/>
        <v>94.098438533708034</v>
      </c>
    </row>
    <row r="149" spans="17:49" x14ac:dyDescent="0.25">
      <c r="Q149">
        <v>142</v>
      </c>
      <c r="R149" s="73">
        <f t="shared" si="96"/>
        <v>53.5</v>
      </c>
      <c r="S149" s="71">
        <f t="shared" si="97"/>
        <v>5.68</v>
      </c>
      <c r="T149" s="71">
        <f t="shared" si="98"/>
        <v>11</v>
      </c>
      <c r="U149" s="74">
        <f t="shared" si="99"/>
        <v>27.625454545454545</v>
      </c>
      <c r="V149" s="73">
        <f>IF(Variable_Management!$B$20=3,2,IF((S149*R149/T149)&lt;((T149*(1-(T149/R149)))/(2*Lm*Fsw)),1,2))</f>
        <v>2</v>
      </c>
      <c r="W149" s="71">
        <f t="shared" si="100"/>
        <v>0.79439252336448596</v>
      </c>
      <c r="X149" s="74">
        <f t="shared" si="101"/>
        <v>0.20560747663551404</v>
      </c>
      <c r="Y149" s="73">
        <f t="shared" si="102"/>
        <v>5.8255451713395638</v>
      </c>
      <c r="Z149" s="71">
        <f t="shared" si="124"/>
        <v>30.538227131124327</v>
      </c>
      <c r="AA149" s="71">
        <f t="shared" si="125"/>
        <v>27.676593363735808</v>
      </c>
      <c r="AB149" s="71">
        <v>0</v>
      </c>
      <c r="AC149" s="71">
        <f t="shared" si="103"/>
        <v>1.7617857865096456</v>
      </c>
      <c r="AD149" s="74">
        <f t="shared" si="114"/>
        <v>1.7617857865096456</v>
      </c>
      <c r="AE149" s="73">
        <f t="shared" si="123"/>
        <v>21.945454545454545</v>
      </c>
      <c r="AF149" s="71">
        <f t="shared" si="115"/>
        <v>24.667787977997282</v>
      </c>
      <c r="AG149" s="71">
        <f t="shared" si="104"/>
        <v>2.4339990549097088</v>
      </c>
      <c r="AH149" s="71">
        <f t="shared" si="105"/>
        <v>7.8451155770061565</v>
      </c>
      <c r="AI149" s="74">
        <f t="shared" si="116"/>
        <v>10.279114631915865</v>
      </c>
      <c r="AJ149" s="73">
        <f t="shared" si="117"/>
        <v>5.6800000000000006</v>
      </c>
      <c r="AK149" s="71">
        <f t="shared" si="106"/>
        <v>12.549663600836386</v>
      </c>
      <c r="AL149" s="71">
        <f t="shared" si="107"/>
        <v>0.62997622597663072</v>
      </c>
      <c r="AM149" s="71">
        <f t="shared" si="118"/>
        <v>0</v>
      </c>
      <c r="AN149" s="188">
        <f t="shared" si="108"/>
        <v>0.36645872557349191</v>
      </c>
      <c r="AO149" s="74">
        <f t="shared" si="119"/>
        <v>0.99643495155012263</v>
      </c>
      <c r="AP149" s="73">
        <f t="shared" si="109"/>
        <v>1.1489907303323774</v>
      </c>
      <c r="AQ149" s="206">
        <f t="shared" si="110"/>
        <v>1.7617857865096456</v>
      </c>
      <c r="AR149" s="206">
        <f t="shared" si="111"/>
        <v>3.0218089420955812</v>
      </c>
      <c r="AS149" s="71">
        <f t="shared" si="112"/>
        <v>0.12000000000000001</v>
      </c>
      <c r="AT149" s="74">
        <f t="shared" si="113"/>
        <v>3.6299999999999995E-5</v>
      </c>
      <c r="AU149" s="73">
        <f t="shared" si="120"/>
        <v>19.089957128913237</v>
      </c>
      <c r="AV149" s="71">
        <f t="shared" si="121"/>
        <v>303.88</v>
      </c>
      <c r="AW149" s="74">
        <f t="shared" si="122"/>
        <v>94.089246783627772</v>
      </c>
    </row>
    <row r="150" spans="17:49" x14ac:dyDescent="0.25">
      <c r="Q150">
        <v>143</v>
      </c>
      <c r="R150" s="73">
        <f t="shared" si="96"/>
        <v>53.5</v>
      </c>
      <c r="S150" s="71">
        <f t="shared" si="97"/>
        <v>5.72</v>
      </c>
      <c r="T150" s="71">
        <f t="shared" si="98"/>
        <v>11</v>
      </c>
      <c r="U150" s="74">
        <f t="shared" si="99"/>
        <v>27.819999999999997</v>
      </c>
      <c r="V150" s="73">
        <f>IF(Variable_Management!$B$20=3,2,IF((S150*R150/T150)&lt;((T150*(1-(T150/R150)))/(2*Lm*Fsw)),1,2))</f>
        <v>2</v>
      </c>
      <c r="W150" s="71">
        <f t="shared" si="100"/>
        <v>0.79439252336448596</v>
      </c>
      <c r="X150" s="74">
        <f t="shared" si="101"/>
        <v>0.20560747663551404</v>
      </c>
      <c r="Y150" s="73">
        <f t="shared" si="102"/>
        <v>5.8255451713395638</v>
      </c>
      <c r="Z150" s="71">
        <f t="shared" si="124"/>
        <v>30.732772585669778</v>
      </c>
      <c r="AA150" s="71">
        <f t="shared" si="125"/>
        <v>27.870781858042836</v>
      </c>
      <c r="AB150" s="71">
        <v>0</v>
      </c>
      <c r="AC150" s="71">
        <f t="shared" si="103"/>
        <v>1.7865951071708022</v>
      </c>
      <c r="AD150" s="74">
        <f t="shared" si="114"/>
        <v>1.7865951071708022</v>
      </c>
      <c r="AE150" s="73">
        <f t="shared" si="123"/>
        <v>22.099999999999998</v>
      </c>
      <c r="AF150" s="71">
        <f t="shared" si="115"/>
        <v>24.840865659284781</v>
      </c>
      <c r="AG150" s="71">
        <f t="shared" si="104"/>
        <v>2.4682744268105359</v>
      </c>
      <c r="AH150" s="71">
        <f t="shared" si="105"/>
        <v>7.9003628698019739</v>
      </c>
      <c r="AI150" s="74">
        <f t="shared" si="116"/>
        <v>10.36863729661251</v>
      </c>
      <c r="AJ150" s="73">
        <f t="shared" si="117"/>
        <v>5.72</v>
      </c>
      <c r="AK150" s="71">
        <f t="shared" si="106"/>
        <v>12.637716355258801</v>
      </c>
      <c r="AL150" s="71">
        <f t="shared" si="107"/>
        <v>0.63884749870390323</v>
      </c>
      <c r="AM150" s="71">
        <f t="shared" si="118"/>
        <v>0</v>
      </c>
      <c r="AN150" s="188">
        <f t="shared" si="108"/>
        <v>0.36879327102803733</v>
      </c>
      <c r="AO150" s="74">
        <f t="shared" si="119"/>
        <v>1.0076407697319405</v>
      </c>
      <c r="AP150" s="73">
        <f t="shared" si="109"/>
        <v>1.1651707220679146</v>
      </c>
      <c r="AQ150" s="206">
        <f t="shared" si="110"/>
        <v>1.7865951071708022</v>
      </c>
      <c r="AR150" s="206">
        <f t="shared" si="111"/>
        <v>3.0218089420955812</v>
      </c>
      <c r="AS150" s="71">
        <f t="shared" si="112"/>
        <v>0.12000000000000001</v>
      </c>
      <c r="AT150" s="74">
        <f t="shared" si="113"/>
        <v>3.6299999999999995E-5</v>
      </c>
      <c r="AU150" s="73">
        <f t="shared" si="120"/>
        <v>19.256484244849553</v>
      </c>
      <c r="AV150" s="71">
        <f t="shared" si="121"/>
        <v>306.02</v>
      </c>
      <c r="AW150" s="74">
        <f t="shared" si="122"/>
        <v>94.079964221958818</v>
      </c>
    </row>
    <row r="151" spans="17:49" x14ac:dyDescent="0.25">
      <c r="Q151">
        <v>144</v>
      </c>
      <c r="R151" s="73">
        <f t="shared" si="96"/>
        <v>53.5</v>
      </c>
      <c r="S151" s="71">
        <f t="shared" si="97"/>
        <v>5.76</v>
      </c>
      <c r="T151" s="71">
        <f t="shared" si="98"/>
        <v>11</v>
      </c>
      <c r="U151" s="74">
        <f t="shared" si="99"/>
        <v>28.014545454545452</v>
      </c>
      <c r="V151" s="73">
        <f>IF(Variable_Management!$B$20=3,2,IF((S151*R151/T151)&lt;((T151*(1-(T151/R151)))/(2*Lm*Fsw)),1,2))</f>
        <v>2</v>
      </c>
      <c r="W151" s="71">
        <f t="shared" si="100"/>
        <v>0.79439252336448596</v>
      </c>
      <c r="X151" s="74">
        <f t="shared" si="101"/>
        <v>0.20560747663551404</v>
      </c>
      <c r="Y151" s="73">
        <f t="shared" si="102"/>
        <v>5.8255451713395638</v>
      </c>
      <c r="Z151" s="71">
        <f t="shared" si="124"/>
        <v>30.927318040215233</v>
      </c>
      <c r="AA151" s="71">
        <f t="shared" si="125"/>
        <v>28.064975296682572</v>
      </c>
      <c r="AB151" s="71">
        <v>0</v>
      </c>
      <c r="AC151" s="71">
        <f t="shared" si="103"/>
        <v>1.811578528327827</v>
      </c>
      <c r="AD151" s="74">
        <f t="shared" si="114"/>
        <v>1.811578528327827</v>
      </c>
      <c r="AE151" s="73">
        <f t="shared" si="123"/>
        <v>22.25454545454545</v>
      </c>
      <c r="AF151" s="71">
        <f t="shared" si="115"/>
        <v>25.013947747391761</v>
      </c>
      <c r="AG151" s="71">
        <f t="shared" si="104"/>
        <v>2.5027903276369816</v>
      </c>
      <c r="AH151" s="71">
        <f t="shared" si="105"/>
        <v>7.9556101625977922</v>
      </c>
      <c r="AI151" s="74">
        <f t="shared" si="116"/>
        <v>10.458400490234773</v>
      </c>
      <c r="AJ151" s="73">
        <f t="shared" si="117"/>
        <v>5.76</v>
      </c>
      <c r="AK151" s="71">
        <f t="shared" si="106"/>
        <v>12.725771351637496</v>
      </c>
      <c r="AL151" s="71">
        <f t="shared" si="107"/>
        <v>0.64778102597663056</v>
      </c>
      <c r="AM151" s="71">
        <f t="shared" si="118"/>
        <v>0</v>
      </c>
      <c r="AN151" s="188">
        <f t="shared" si="108"/>
        <v>0.37112781648258281</v>
      </c>
      <c r="AO151" s="74">
        <f t="shared" si="119"/>
        <v>1.0189088424592134</v>
      </c>
      <c r="AP151" s="73">
        <f t="shared" si="109"/>
        <v>1.1814642576051047</v>
      </c>
      <c r="AQ151" s="206">
        <f t="shared" si="110"/>
        <v>1.811578528327827</v>
      </c>
      <c r="AR151" s="206">
        <f t="shared" si="111"/>
        <v>3.0218089420955812</v>
      </c>
      <c r="AS151" s="71">
        <f t="shared" si="112"/>
        <v>0.12000000000000001</v>
      </c>
      <c r="AT151" s="74">
        <f t="shared" si="113"/>
        <v>3.6299999999999995E-5</v>
      </c>
      <c r="AU151" s="73">
        <f t="shared" si="120"/>
        <v>19.423775889050326</v>
      </c>
      <c r="AV151" s="71">
        <f t="shared" si="121"/>
        <v>308.15999999999997</v>
      </c>
      <c r="AW151" s="74">
        <f t="shared" si="122"/>
        <v>94.070592831914553</v>
      </c>
    </row>
    <row r="152" spans="17:49" x14ac:dyDescent="0.25">
      <c r="Q152">
        <v>145</v>
      </c>
      <c r="R152" s="73">
        <f t="shared" si="96"/>
        <v>53.5</v>
      </c>
      <c r="S152" s="71">
        <f t="shared" si="97"/>
        <v>5.8</v>
      </c>
      <c r="T152" s="71">
        <f t="shared" si="98"/>
        <v>11</v>
      </c>
      <c r="U152" s="74">
        <f t="shared" si="99"/>
        <v>28.209090909090911</v>
      </c>
      <c r="V152" s="73">
        <f>IF(Variable_Management!$B$20=3,2,IF((S152*R152/T152)&lt;((T152*(1-(T152/R152)))/(2*Lm*Fsw)),1,2))</f>
        <v>2</v>
      </c>
      <c r="W152" s="71">
        <f t="shared" si="100"/>
        <v>0.79439252336448596</v>
      </c>
      <c r="X152" s="74">
        <f t="shared" si="101"/>
        <v>0.20560747663551404</v>
      </c>
      <c r="Y152" s="73">
        <f t="shared" si="102"/>
        <v>5.8255451713395638</v>
      </c>
      <c r="Z152" s="71">
        <f t="shared" si="124"/>
        <v>31.121863494760692</v>
      </c>
      <c r="AA152" s="71">
        <f t="shared" si="125"/>
        <v>28.259173577724546</v>
      </c>
      <c r="AB152" s="71">
        <v>0</v>
      </c>
      <c r="AC152" s="71">
        <f t="shared" si="103"/>
        <v>1.8367360499807197</v>
      </c>
      <c r="AD152" s="74">
        <f t="shared" si="114"/>
        <v>1.8367360499807197</v>
      </c>
      <c r="AE152" s="73">
        <f t="shared" si="123"/>
        <v>22.40909090909091</v>
      </c>
      <c r="AF152" s="71">
        <f t="shared" si="115"/>
        <v>25.187034151468925</v>
      </c>
      <c r="AG152" s="71">
        <f t="shared" si="104"/>
        <v>2.5375467573890478</v>
      </c>
      <c r="AH152" s="71">
        <f t="shared" si="105"/>
        <v>8.0108574553936105</v>
      </c>
      <c r="AI152" s="74">
        <f t="shared" si="116"/>
        <v>10.548404212782659</v>
      </c>
      <c r="AJ152" s="73">
        <f t="shared" si="117"/>
        <v>5.8000000000000007</v>
      </c>
      <c r="AK152" s="71">
        <f t="shared" si="106"/>
        <v>12.813828543753155</v>
      </c>
      <c r="AL152" s="71">
        <f t="shared" si="107"/>
        <v>0.65677680779481251</v>
      </c>
      <c r="AM152" s="71">
        <f t="shared" si="118"/>
        <v>0</v>
      </c>
      <c r="AN152" s="188">
        <f t="shared" si="108"/>
        <v>0.37346236193712834</v>
      </c>
      <c r="AO152" s="74">
        <f t="shared" si="119"/>
        <v>1.0302391697319409</v>
      </c>
      <c r="AP152" s="73">
        <f t="shared" si="109"/>
        <v>1.1978713369439478</v>
      </c>
      <c r="AQ152" s="206">
        <f t="shared" si="110"/>
        <v>1.8367360499807197</v>
      </c>
      <c r="AR152" s="206">
        <f t="shared" si="111"/>
        <v>3.0218089420955812</v>
      </c>
      <c r="AS152" s="71">
        <f t="shared" si="112"/>
        <v>0.12000000000000001</v>
      </c>
      <c r="AT152" s="74">
        <f t="shared" si="113"/>
        <v>3.6299999999999995E-5</v>
      </c>
      <c r="AU152" s="73">
        <f t="shared" si="120"/>
        <v>19.591832061515568</v>
      </c>
      <c r="AV152" s="71">
        <f t="shared" si="121"/>
        <v>310.3</v>
      </c>
      <c r="AW152" s="74">
        <f t="shared" si="122"/>
        <v>94.061134542469588</v>
      </c>
    </row>
    <row r="153" spans="17:49" x14ac:dyDescent="0.25">
      <c r="Q153">
        <v>146</v>
      </c>
      <c r="R153" s="73">
        <f t="shared" si="96"/>
        <v>53.5</v>
      </c>
      <c r="S153" s="71">
        <f t="shared" si="97"/>
        <v>5.84</v>
      </c>
      <c r="T153" s="71">
        <f t="shared" si="98"/>
        <v>11</v>
      </c>
      <c r="U153" s="74">
        <f t="shared" si="99"/>
        <v>28.403636363636362</v>
      </c>
      <c r="V153" s="73">
        <f>IF(Variable_Management!$B$20=3,2,IF((S153*R153/T153)&lt;((T153*(1-(T153/R153)))/(2*Lm*Fsw)),1,2))</f>
        <v>2</v>
      </c>
      <c r="W153" s="71">
        <f t="shared" si="100"/>
        <v>0.79439252336448596</v>
      </c>
      <c r="X153" s="74">
        <f t="shared" si="101"/>
        <v>0.20560747663551404</v>
      </c>
      <c r="Y153" s="73">
        <f t="shared" si="102"/>
        <v>5.8255451713395638</v>
      </c>
      <c r="Z153" s="71">
        <f t="shared" si="124"/>
        <v>31.316408949306144</v>
      </c>
      <c r="AA153" s="71">
        <f t="shared" si="125"/>
        <v>28.453376602018533</v>
      </c>
      <c r="AB153" s="71">
        <v>0</v>
      </c>
      <c r="AC153" s="71">
        <f t="shared" si="103"/>
        <v>1.86206767212948</v>
      </c>
      <c r="AD153" s="74">
        <f t="shared" si="114"/>
        <v>1.86206767212948</v>
      </c>
      <c r="AE153" s="73">
        <f t="shared" si="123"/>
        <v>22.563636363636363</v>
      </c>
      <c r="AF153" s="71">
        <f t="shared" si="115"/>
        <v>25.360124783144965</v>
      </c>
      <c r="AG153" s="71">
        <f t="shared" si="104"/>
        <v>2.5725437160667339</v>
      </c>
      <c r="AH153" s="71">
        <f t="shared" si="105"/>
        <v>8.0661047481894279</v>
      </c>
      <c r="AI153" s="74">
        <f t="shared" si="116"/>
        <v>10.638648464256162</v>
      </c>
      <c r="AJ153" s="73">
        <f t="shared" si="117"/>
        <v>5.8400000000000007</v>
      </c>
      <c r="AK153" s="71">
        <f t="shared" si="106"/>
        <v>12.90188788664714</v>
      </c>
      <c r="AL153" s="71">
        <f t="shared" si="107"/>
        <v>0.66583484415844885</v>
      </c>
      <c r="AM153" s="71">
        <f t="shared" si="118"/>
        <v>0</v>
      </c>
      <c r="AN153" s="188">
        <f t="shared" si="108"/>
        <v>0.37579690739167376</v>
      </c>
      <c r="AO153" s="74">
        <f t="shared" si="119"/>
        <v>1.0416317515501226</v>
      </c>
      <c r="AP153" s="73">
        <f t="shared" si="109"/>
        <v>1.2143919600844435</v>
      </c>
      <c r="AQ153" s="206">
        <f t="shared" si="110"/>
        <v>1.86206767212948</v>
      </c>
      <c r="AR153" s="206">
        <f t="shared" si="111"/>
        <v>3.0218089420955812</v>
      </c>
      <c r="AS153" s="71">
        <f t="shared" si="112"/>
        <v>0.12000000000000001</v>
      </c>
      <c r="AT153" s="74">
        <f t="shared" si="113"/>
        <v>3.6299999999999995E-5</v>
      </c>
      <c r="AU153" s="73">
        <f t="shared" si="120"/>
        <v>19.760652762245272</v>
      </c>
      <c r="AV153" s="71">
        <f t="shared" si="121"/>
        <v>312.44</v>
      </c>
      <c r="AW153" s="74">
        <f t="shared" si="122"/>
        <v>94.05159123019908</v>
      </c>
    </row>
    <row r="154" spans="17:49" x14ac:dyDescent="0.25">
      <c r="Q154">
        <v>147</v>
      </c>
      <c r="R154" s="73">
        <f t="shared" si="96"/>
        <v>53.5</v>
      </c>
      <c r="S154" s="71">
        <f t="shared" si="97"/>
        <v>5.88</v>
      </c>
      <c r="T154" s="71">
        <f t="shared" si="98"/>
        <v>11</v>
      </c>
      <c r="U154" s="74">
        <f t="shared" si="99"/>
        <v>28.598181818181818</v>
      </c>
      <c r="V154" s="73">
        <f>IF(Variable_Management!$B$20=3,2,IF((S154*R154/T154)&lt;((T154*(1-(T154/R154)))/(2*Lm*Fsw)),1,2))</f>
        <v>2</v>
      </c>
      <c r="W154" s="71">
        <f t="shared" si="100"/>
        <v>0.79439252336448596</v>
      </c>
      <c r="X154" s="74">
        <f t="shared" si="101"/>
        <v>0.20560747663551404</v>
      </c>
      <c r="Y154" s="73">
        <f t="shared" si="102"/>
        <v>5.8255451713395638</v>
      </c>
      <c r="Z154" s="71">
        <f t="shared" si="124"/>
        <v>31.510954403851599</v>
      </c>
      <c r="AA154" s="71">
        <f t="shared" si="125"/>
        <v>28.647584273100495</v>
      </c>
      <c r="AB154" s="71">
        <v>0</v>
      </c>
      <c r="AC154" s="71">
        <f t="shared" si="103"/>
        <v>1.8875733947741082</v>
      </c>
      <c r="AD154" s="74">
        <f t="shared" si="114"/>
        <v>1.8875733947741082</v>
      </c>
      <c r="AE154" s="73">
        <f t="shared" si="123"/>
        <v>22.718181818181819</v>
      </c>
      <c r="AF154" s="71">
        <f t="shared" si="115"/>
        <v>25.533219556442738</v>
      </c>
      <c r="AG154" s="71">
        <f t="shared" si="104"/>
        <v>2.6077812036700396</v>
      </c>
      <c r="AH154" s="71">
        <f t="shared" si="105"/>
        <v>8.1213520409852453</v>
      </c>
      <c r="AI154" s="74">
        <f t="shared" si="116"/>
        <v>10.729133244655285</v>
      </c>
      <c r="AJ154" s="73">
        <f t="shared" si="117"/>
        <v>5.8800000000000008</v>
      </c>
      <c r="AK154" s="71">
        <f t="shared" si="106"/>
        <v>12.989949336578835</v>
      </c>
      <c r="AL154" s="71">
        <f t="shared" si="107"/>
        <v>0.67495513506753968</v>
      </c>
      <c r="AM154" s="71">
        <f t="shared" si="118"/>
        <v>0</v>
      </c>
      <c r="AN154" s="188">
        <f t="shared" si="108"/>
        <v>0.37813145284621918</v>
      </c>
      <c r="AO154" s="74">
        <f t="shared" si="119"/>
        <v>1.053086587913759</v>
      </c>
      <c r="AP154" s="73">
        <f t="shared" si="109"/>
        <v>1.2310261270265923</v>
      </c>
      <c r="AQ154" s="206">
        <f t="shared" si="110"/>
        <v>1.8875733947741082</v>
      </c>
      <c r="AR154" s="206">
        <f t="shared" si="111"/>
        <v>3.0218089420955812</v>
      </c>
      <c r="AS154" s="71">
        <f t="shared" si="112"/>
        <v>0.12000000000000001</v>
      </c>
      <c r="AT154" s="74">
        <f t="shared" si="113"/>
        <v>3.6299999999999995E-5</v>
      </c>
      <c r="AU154" s="73">
        <f t="shared" si="120"/>
        <v>19.930237991239434</v>
      </c>
      <c r="AV154" s="71">
        <f t="shared" si="121"/>
        <v>314.58</v>
      </c>
      <c r="AW154" s="74">
        <f t="shared" si="122"/>
        <v>94.041964721043485</v>
      </c>
    </row>
    <row r="155" spans="17:49" x14ac:dyDescent="0.25">
      <c r="Q155">
        <v>148</v>
      </c>
      <c r="R155" s="73">
        <f t="shared" si="96"/>
        <v>53.5</v>
      </c>
      <c r="S155" s="71">
        <f t="shared" si="97"/>
        <v>5.92</v>
      </c>
      <c r="T155" s="71">
        <f t="shared" si="98"/>
        <v>11</v>
      </c>
      <c r="U155" s="74">
        <f t="shared" si="99"/>
        <v>28.792727272727269</v>
      </c>
      <c r="V155" s="73">
        <f>IF(Variable_Management!$B$20=3,2,IF((S155*R155/T155)&lt;((T155*(1-(T155/R155)))/(2*Lm*Fsw)),1,2))</f>
        <v>2</v>
      </c>
      <c r="W155" s="71">
        <f t="shared" si="100"/>
        <v>0.79439252336448596</v>
      </c>
      <c r="X155" s="74">
        <f t="shared" si="101"/>
        <v>0.20560747663551404</v>
      </c>
      <c r="Y155" s="73">
        <f t="shared" si="102"/>
        <v>5.8255451713395638</v>
      </c>
      <c r="Z155" s="71">
        <f t="shared" si="124"/>
        <v>31.705499858397051</v>
      </c>
      <c r="AA155" s="71">
        <f t="shared" si="125"/>
        <v>28.841796497102301</v>
      </c>
      <c r="AB155" s="71">
        <v>0</v>
      </c>
      <c r="AC155" s="71">
        <f t="shared" si="103"/>
        <v>1.913253217914604</v>
      </c>
      <c r="AD155" s="74">
        <f t="shared" si="114"/>
        <v>1.913253217914604</v>
      </c>
      <c r="AE155" s="73">
        <f t="shared" si="123"/>
        <v>22.872727272727268</v>
      </c>
      <c r="AF155" s="71">
        <f t="shared" si="115"/>
        <v>25.706318387698794</v>
      </c>
      <c r="AG155" s="71">
        <f t="shared" si="104"/>
        <v>2.6432592201989649</v>
      </c>
      <c r="AH155" s="71">
        <f t="shared" si="105"/>
        <v>8.1765993337810645</v>
      </c>
      <c r="AI155" s="74">
        <f t="shared" si="116"/>
        <v>10.81985855398003</v>
      </c>
      <c r="AJ155" s="73">
        <f t="shared" si="117"/>
        <v>5.92</v>
      </c>
      <c r="AK155" s="71">
        <f t="shared" si="106"/>
        <v>13.078012850984713</v>
      </c>
      <c r="AL155" s="71">
        <f t="shared" si="107"/>
        <v>0.68413768052208523</v>
      </c>
      <c r="AM155" s="71">
        <f t="shared" si="118"/>
        <v>0</v>
      </c>
      <c r="AN155" s="188">
        <f t="shared" si="108"/>
        <v>0.38046599830076461</v>
      </c>
      <c r="AO155" s="74">
        <f t="shared" si="119"/>
        <v>1.0646036788228499</v>
      </c>
      <c r="AP155" s="73">
        <f t="shared" si="109"/>
        <v>1.247773837770394</v>
      </c>
      <c r="AQ155" s="206">
        <f t="shared" si="110"/>
        <v>1.913253217914604</v>
      </c>
      <c r="AR155" s="206">
        <f t="shared" si="111"/>
        <v>3.0218089420955812</v>
      </c>
      <c r="AS155" s="71">
        <f t="shared" si="112"/>
        <v>0.12000000000000001</v>
      </c>
      <c r="AT155" s="74">
        <f t="shared" si="113"/>
        <v>3.6299999999999995E-5</v>
      </c>
      <c r="AU155" s="73">
        <f t="shared" si="120"/>
        <v>20.100587748498064</v>
      </c>
      <c r="AV155" s="71">
        <f t="shared" si="121"/>
        <v>316.71999999999997</v>
      </c>
      <c r="AW155" s="74">
        <f t="shared" si="122"/>
        <v>94.032256792002556</v>
      </c>
    </row>
    <row r="156" spans="17:49" x14ac:dyDescent="0.25">
      <c r="Q156">
        <v>149</v>
      </c>
      <c r="R156" s="73">
        <f t="shared" si="96"/>
        <v>53.5</v>
      </c>
      <c r="S156" s="71">
        <f t="shared" si="97"/>
        <v>5.96</v>
      </c>
      <c r="T156" s="71">
        <f t="shared" si="98"/>
        <v>11</v>
      </c>
      <c r="U156" s="74">
        <f t="shared" si="99"/>
        <v>28.987272727272728</v>
      </c>
      <c r="V156" s="73">
        <f>IF(Variable_Management!$B$20=3,2,IF((S156*R156/T156)&lt;((T156*(1-(T156/R156)))/(2*Lm*Fsw)),1,2))</f>
        <v>2</v>
      </c>
      <c r="W156" s="71">
        <f t="shared" si="100"/>
        <v>0.79439252336448596</v>
      </c>
      <c r="X156" s="74">
        <f t="shared" si="101"/>
        <v>0.20560747663551404</v>
      </c>
      <c r="Y156" s="73">
        <f t="shared" si="102"/>
        <v>5.8255451713395638</v>
      </c>
      <c r="Z156" s="71">
        <f t="shared" si="124"/>
        <v>31.90004531294251</v>
      </c>
      <c r="AA156" s="71">
        <f t="shared" si="125"/>
        <v>29.036013182665059</v>
      </c>
      <c r="AB156" s="71">
        <v>0</v>
      </c>
      <c r="AC156" s="71">
        <f t="shared" si="103"/>
        <v>1.9391071415509678</v>
      </c>
      <c r="AD156" s="74">
        <f t="shared" si="114"/>
        <v>1.9391071415509678</v>
      </c>
      <c r="AE156" s="73">
        <f t="shared" si="123"/>
        <v>23.027272727272727</v>
      </c>
      <c r="AF156" s="71">
        <f t="shared" si="115"/>
        <v>25.879421195486149</v>
      </c>
      <c r="AG156" s="71">
        <f t="shared" si="104"/>
        <v>2.678977765653511</v>
      </c>
      <c r="AH156" s="71">
        <f t="shared" si="105"/>
        <v>8.2318466265768819</v>
      </c>
      <c r="AI156" s="74">
        <f t="shared" si="116"/>
        <v>10.910824392230392</v>
      </c>
      <c r="AJ156" s="73">
        <f t="shared" si="117"/>
        <v>5.9600000000000009</v>
      </c>
      <c r="AK156" s="71">
        <f t="shared" si="106"/>
        <v>13.166078388439031</v>
      </c>
      <c r="AL156" s="71">
        <f t="shared" si="107"/>
        <v>0.69338248052208518</v>
      </c>
      <c r="AM156" s="71">
        <f t="shared" si="118"/>
        <v>0</v>
      </c>
      <c r="AN156" s="188">
        <f t="shared" si="108"/>
        <v>0.38280054375531014</v>
      </c>
      <c r="AO156" s="74">
        <f t="shared" si="119"/>
        <v>1.0761830242773953</v>
      </c>
      <c r="AP156" s="73">
        <f t="shared" si="109"/>
        <v>1.2646350923158487</v>
      </c>
      <c r="AQ156" s="206">
        <f t="shared" si="110"/>
        <v>1.9391071415509678</v>
      </c>
      <c r="AR156" s="206">
        <f t="shared" si="111"/>
        <v>3.0218089420955812</v>
      </c>
      <c r="AS156" s="71">
        <f t="shared" si="112"/>
        <v>0.12000000000000001</v>
      </c>
      <c r="AT156" s="74">
        <f t="shared" si="113"/>
        <v>3.6299999999999995E-5</v>
      </c>
      <c r="AU156" s="73">
        <f t="shared" si="120"/>
        <v>20.271702034021153</v>
      </c>
      <c r="AV156" s="71">
        <f t="shared" si="121"/>
        <v>318.86</v>
      </c>
      <c r="AW156" s="74">
        <f t="shared" si="122"/>
        <v>94.022469172761831</v>
      </c>
    </row>
    <row r="157" spans="17:49" ht="15.75" thickBot="1" x14ac:dyDescent="0.3">
      <c r="Q157">
        <v>150</v>
      </c>
      <c r="R157" s="75">
        <f t="shared" si="96"/>
        <v>53.5</v>
      </c>
      <c r="S157" s="76">
        <f t="shared" si="97"/>
        <v>6</v>
      </c>
      <c r="T157" s="76">
        <f t="shared" si="98"/>
        <v>11</v>
      </c>
      <c r="U157" s="77">
        <f t="shared" si="99"/>
        <v>29.181818181818183</v>
      </c>
      <c r="V157" s="73">
        <f>IF(Variable_Management!$B$20=3,2,IF((S157*R157/T157)&lt;((T157*(1-(T157/R157)))/(2*Lm*Fsw)),1,2))</f>
        <v>2</v>
      </c>
      <c r="W157" s="76">
        <f t="shared" si="100"/>
        <v>0.79439252336448596</v>
      </c>
      <c r="X157" s="74">
        <f t="shared" si="101"/>
        <v>0.20560747663551404</v>
      </c>
      <c r="Y157" s="75">
        <f t="shared" si="102"/>
        <v>5.8255451713395638</v>
      </c>
      <c r="Z157" s="76">
        <f t="shared" si="124"/>
        <v>32.094590767487965</v>
      </c>
      <c r="AA157" s="76">
        <f t="shared" si="125"/>
        <v>29.230234240855889</v>
      </c>
      <c r="AB157" s="76">
        <v>0</v>
      </c>
      <c r="AC157" s="76">
        <f t="shared" si="103"/>
        <v>1.9651351656831992</v>
      </c>
      <c r="AD157" s="77">
        <f t="shared" si="114"/>
        <v>1.9651351656831992</v>
      </c>
      <c r="AE157" s="75">
        <f t="shared" si="123"/>
        <v>23.181818181818183</v>
      </c>
      <c r="AF157" s="71">
        <f t="shared" si="115"/>
        <v>26.052527900540074</v>
      </c>
      <c r="AG157" s="76">
        <f t="shared" si="104"/>
        <v>2.7149368400336762</v>
      </c>
      <c r="AH157" s="76">
        <f t="shared" si="105"/>
        <v>8.2870939193727011</v>
      </c>
      <c r="AI157" s="77">
        <f t="shared" si="116"/>
        <v>11.002030759406377</v>
      </c>
      <c r="AJ157" s="75">
        <f>X157*U157</f>
        <v>6.0000000000000009</v>
      </c>
      <c r="AK157" s="76">
        <f t="shared" si="106"/>
        <v>13.254145908616103</v>
      </c>
      <c r="AL157" s="71">
        <f t="shared" si="107"/>
        <v>0.70268953506753984</v>
      </c>
      <c r="AM157" s="71">
        <f t="shared" si="118"/>
        <v>0</v>
      </c>
      <c r="AN157" s="188">
        <f>Vd_rect*t_dead*Fsw*Z157</f>
        <v>0.38513508920985556</v>
      </c>
      <c r="AO157" s="74">
        <f t="shared" si="119"/>
        <v>1.0878246242773955</v>
      </c>
      <c r="AP157" s="73">
        <f t="shared" si="109"/>
        <v>1.2816098906629561</v>
      </c>
      <c r="AQ157" s="206">
        <f t="shared" si="110"/>
        <v>1.9651351656831992</v>
      </c>
      <c r="AR157" s="206">
        <f t="shared" si="111"/>
        <v>3.0218089420955812</v>
      </c>
      <c r="AS157" s="71">
        <f t="shared" si="112"/>
        <v>0.12000000000000001</v>
      </c>
      <c r="AT157" s="77">
        <f t="shared" si="113"/>
        <v>3.6299999999999995E-5</v>
      </c>
      <c r="AU157" s="73">
        <f t="shared" si="120"/>
        <v>20.443580847808708</v>
      </c>
      <c r="AV157" s="76">
        <f t="shared" si="121"/>
        <v>321</v>
      </c>
      <c r="AW157" s="77">
        <f>(AV157/(AV157+AU157))*100</f>
        <v>94.012603547254557</v>
      </c>
    </row>
  </sheetData>
  <mergeCells count="7">
    <mergeCell ref="AP5:AT5"/>
    <mergeCell ref="A1:M1"/>
    <mergeCell ref="R5:U5"/>
    <mergeCell ref="V5:X5"/>
    <mergeCell ref="Y5:AD5"/>
    <mergeCell ref="AE5:AI5"/>
    <mergeCell ref="AJ5:AO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zoomScale="85" zoomScaleNormal="85" workbookViewId="0">
      <selection activeCell="M37" sqref="M37"/>
    </sheetView>
  </sheetViews>
  <sheetFormatPr baseColWidth="10" defaultColWidth="9.140625" defaultRowHeight="15" x14ac:dyDescent="0.25"/>
  <cols>
    <col min="1" max="1" width="18.7109375" customWidth="1"/>
    <col min="2" max="2" width="25" customWidth="1"/>
    <col min="8" max="9" width="8.85546875"/>
    <col min="10" max="10" width="12.7109375" bestFit="1" customWidth="1"/>
    <col min="14" max="14" width="17.85546875" customWidth="1"/>
    <col min="15" max="15" width="16.5703125" style="34" bestFit="1" customWidth="1"/>
    <col min="16" max="16" width="16.5703125" customWidth="1"/>
    <col min="29" max="29" width="8.85546875"/>
    <col min="32" max="37" width="8.7109375"/>
    <col min="38" max="38" width="11.42578125" bestFit="1" customWidth="1"/>
    <col min="39" max="40" width="8.7109375"/>
    <col min="41" max="41" width="13.140625" bestFit="1" customWidth="1"/>
    <col min="42" max="44" width="8.7109375"/>
    <col min="46" max="46" width="10.140625" customWidth="1"/>
    <col min="47" max="47" width="12" bestFit="1" customWidth="1"/>
    <col min="55" max="55" width="8.85546875"/>
    <col min="58" max="58" width="8.85546875"/>
  </cols>
  <sheetData>
    <row r="1" spans="1:65" ht="27.75" x14ac:dyDescent="0.4">
      <c r="A1" s="213" t="s">
        <v>15</v>
      </c>
      <c r="B1" s="213"/>
      <c r="C1" s="213"/>
      <c r="D1" s="213"/>
      <c r="E1" s="213"/>
      <c r="F1" s="213"/>
      <c r="G1" s="213"/>
      <c r="H1" s="213"/>
      <c r="I1" s="213"/>
      <c r="J1" s="213"/>
      <c r="K1" s="213"/>
      <c r="L1" s="213"/>
      <c r="M1" s="213"/>
      <c r="N1" s="213" t="s">
        <v>194</v>
      </c>
      <c r="O1" s="213"/>
      <c r="P1" s="213"/>
      <c r="Q1" s="213"/>
      <c r="R1" s="213"/>
      <c r="S1" s="213"/>
      <c r="T1" s="213"/>
      <c r="U1" s="213"/>
      <c r="V1" s="213"/>
      <c r="W1" s="213"/>
      <c r="X1" s="213"/>
    </row>
    <row r="2" spans="1:65" x14ac:dyDescent="0.25">
      <c r="A2" s="5"/>
      <c r="B2" s="5" t="s">
        <v>16</v>
      </c>
      <c r="C2" s="6"/>
      <c r="D2" s="4"/>
      <c r="E2" s="5"/>
      <c r="F2" s="5"/>
      <c r="G2" s="5"/>
      <c r="H2" s="5"/>
      <c r="I2" s="5"/>
      <c r="J2" s="5"/>
      <c r="K2" s="5"/>
      <c r="L2" s="5"/>
      <c r="M2" s="5"/>
      <c r="O2"/>
    </row>
    <row r="3" spans="1:65" ht="15.75" thickBot="1" x14ac:dyDescent="0.3">
      <c r="A3" s="5"/>
      <c r="B3" s="5" t="s">
        <v>17</v>
      </c>
      <c r="C3" s="7"/>
      <c r="D3" s="4"/>
      <c r="E3" s="5"/>
      <c r="F3" s="14"/>
      <c r="G3" s="15"/>
      <c r="H3" s="15"/>
      <c r="I3" s="15"/>
      <c r="J3" s="15"/>
      <c r="K3" s="24"/>
      <c r="L3" s="5"/>
      <c r="M3" s="5"/>
      <c r="O3" t="s">
        <v>481</v>
      </c>
    </row>
    <row r="4" spans="1:65" ht="15.75" thickBot="1" x14ac:dyDescent="0.3">
      <c r="A4" s="5"/>
      <c r="B4" s="5" t="s">
        <v>18</v>
      </c>
      <c r="C4" s="8"/>
      <c r="D4" s="4"/>
      <c r="E4" s="5"/>
      <c r="F4" s="14"/>
      <c r="G4" s="15"/>
      <c r="H4" s="15"/>
      <c r="I4" s="15"/>
      <c r="J4" s="15"/>
      <c r="K4" s="24"/>
      <c r="L4" s="5"/>
      <c r="M4" s="5"/>
      <c r="N4" s="177"/>
      <c r="O4" s="67"/>
      <c r="P4" s="225" t="s">
        <v>454</v>
      </c>
      <c r="Q4" s="225"/>
      <c r="R4" s="225"/>
      <c r="S4" s="225"/>
      <c r="T4" s="225"/>
      <c r="U4" s="225"/>
      <c r="V4" s="225"/>
      <c r="W4" s="225"/>
      <c r="X4" s="225"/>
      <c r="Y4" s="225"/>
      <c r="Z4" s="225"/>
      <c r="AA4" s="225"/>
      <c r="AB4" s="225"/>
      <c r="AC4" s="225"/>
      <c r="AD4" s="225"/>
      <c r="AE4" s="226"/>
      <c r="AF4" s="224" t="s">
        <v>571</v>
      </c>
      <c r="AG4" s="225"/>
      <c r="AH4" s="225"/>
      <c r="AI4" s="225"/>
      <c r="AJ4" s="225"/>
      <c r="AK4" s="225"/>
      <c r="AL4" s="225"/>
      <c r="AM4" s="225"/>
      <c r="AN4" s="225"/>
      <c r="AO4" s="225"/>
      <c r="AP4" s="225"/>
      <c r="AQ4" s="225"/>
      <c r="AR4" s="226"/>
      <c r="AS4" s="224" t="s">
        <v>225</v>
      </c>
      <c r="AT4" s="225"/>
      <c r="AU4" s="225"/>
      <c r="AV4" s="225"/>
      <c r="AW4" s="225"/>
      <c r="AX4" s="225"/>
      <c r="AY4" s="225"/>
      <c r="AZ4" s="225"/>
      <c r="BA4" s="225"/>
      <c r="BB4" s="225"/>
      <c r="BC4" s="225"/>
      <c r="BD4" s="225"/>
      <c r="BE4" s="226"/>
      <c r="BF4" s="224" t="s">
        <v>484</v>
      </c>
      <c r="BG4" s="225"/>
      <c r="BH4" s="226"/>
      <c r="BI4" s="224" t="s">
        <v>485</v>
      </c>
      <c r="BJ4" s="225"/>
      <c r="BK4" s="226"/>
      <c r="BL4" s="233" t="s">
        <v>486</v>
      </c>
      <c r="BM4" s="234"/>
    </row>
    <row r="5" spans="1:65" ht="15.75" thickBot="1" x14ac:dyDescent="0.3">
      <c r="A5" s="5"/>
      <c r="D5" s="4"/>
      <c r="E5" s="5"/>
      <c r="F5" s="5"/>
      <c r="G5" s="5"/>
      <c r="H5" s="5"/>
      <c r="I5" s="5"/>
      <c r="J5" s="5"/>
      <c r="K5" s="5"/>
      <c r="L5" s="5"/>
      <c r="M5" s="5"/>
      <c r="N5" s="178"/>
      <c r="O5" s="43"/>
      <c r="Q5" s="227" t="s">
        <v>217</v>
      </c>
      <c r="R5" s="227"/>
      <c r="S5" s="227"/>
      <c r="T5" s="223" t="s">
        <v>219</v>
      </c>
      <c r="U5" s="223"/>
      <c r="V5" s="223"/>
      <c r="W5" s="223" t="s">
        <v>219</v>
      </c>
      <c r="X5" s="223"/>
      <c r="Y5" s="223"/>
      <c r="Z5" s="223" t="s">
        <v>222</v>
      </c>
      <c r="AA5" s="223"/>
      <c r="AB5" s="223"/>
      <c r="AC5" s="231" t="s">
        <v>224</v>
      </c>
      <c r="AD5" s="223"/>
      <c r="AE5" s="232"/>
      <c r="AF5" s="153"/>
      <c r="AG5" s="227" t="s">
        <v>217</v>
      </c>
      <c r="AH5" s="227"/>
      <c r="AI5" s="227"/>
      <c r="AJ5" s="228" t="s">
        <v>219</v>
      </c>
      <c r="AK5" s="228"/>
      <c r="AL5" s="228"/>
      <c r="AM5" s="223" t="s">
        <v>258</v>
      </c>
      <c r="AN5" s="223"/>
      <c r="AO5" s="223"/>
      <c r="AP5" s="229" t="s">
        <v>224</v>
      </c>
      <c r="AQ5" s="228"/>
      <c r="AR5" s="230"/>
      <c r="AT5" s="223" t="s">
        <v>231</v>
      </c>
      <c r="AU5" s="223"/>
      <c r="AV5" s="223"/>
      <c r="AW5" s="223" t="s">
        <v>232</v>
      </c>
      <c r="AX5" s="223"/>
      <c r="AY5" s="223"/>
      <c r="AZ5" s="223" t="s">
        <v>226</v>
      </c>
      <c r="BA5" s="223"/>
      <c r="BB5" s="223"/>
      <c r="BC5" s="231" t="s">
        <v>224</v>
      </c>
      <c r="BD5" s="223"/>
      <c r="BE5" s="232"/>
      <c r="BF5" s="231" t="s">
        <v>224</v>
      </c>
      <c r="BG5" s="223"/>
      <c r="BH5" s="232"/>
      <c r="BI5" s="231" t="s">
        <v>224</v>
      </c>
      <c r="BJ5" s="223"/>
      <c r="BK5" s="232"/>
      <c r="BL5" s="231" t="s">
        <v>224</v>
      </c>
      <c r="BM5" s="232"/>
    </row>
    <row r="6" spans="1:65" ht="15.75" thickBot="1" x14ac:dyDescent="0.3">
      <c r="A6" s="9" t="s">
        <v>19</v>
      </c>
      <c r="B6" s="9" t="s">
        <v>20</v>
      </c>
      <c r="C6" s="9" t="s">
        <v>21</v>
      </c>
      <c r="D6" s="4"/>
      <c r="E6" s="214" t="s">
        <v>22</v>
      </c>
      <c r="F6" s="214"/>
      <c r="G6" s="214"/>
      <c r="H6" s="214"/>
      <c r="I6" s="214"/>
      <c r="J6" s="214"/>
      <c r="K6" s="214"/>
      <c r="L6" s="5"/>
      <c r="M6" s="9"/>
      <c r="N6" s="178"/>
      <c r="O6" s="43"/>
      <c r="P6" s="65" t="s">
        <v>200</v>
      </c>
      <c r="Q6" s="62" t="s">
        <v>223</v>
      </c>
      <c r="R6" s="64" t="s">
        <v>220</v>
      </c>
      <c r="S6" s="64" t="s">
        <v>221</v>
      </c>
      <c r="T6" s="64" t="s">
        <v>223</v>
      </c>
      <c r="U6" s="64" t="s">
        <v>220</v>
      </c>
      <c r="V6" s="64" t="s">
        <v>221</v>
      </c>
      <c r="W6" s="64" t="s">
        <v>223</v>
      </c>
      <c r="X6" s="64" t="s">
        <v>220</v>
      </c>
      <c r="Y6" s="64" t="s">
        <v>221</v>
      </c>
      <c r="Z6" s="64" t="s">
        <v>223</v>
      </c>
      <c r="AA6" s="64" t="s">
        <v>220</v>
      </c>
      <c r="AB6" s="64" t="s">
        <v>221</v>
      </c>
      <c r="AC6" s="65" t="s">
        <v>235</v>
      </c>
      <c r="AD6" s="64" t="s">
        <v>220</v>
      </c>
      <c r="AE6" s="181" t="s">
        <v>221</v>
      </c>
      <c r="AF6" s="182" t="s">
        <v>200</v>
      </c>
      <c r="AG6" s="183" t="s">
        <v>223</v>
      </c>
      <c r="AH6" s="183" t="s">
        <v>234</v>
      </c>
      <c r="AI6" s="183" t="s">
        <v>221</v>
      </c>
      <c r="AJ6" s="183" t="s">
        <v>223</v>
      </c>
      <c r="AK6" s="183" t="s">
        <v>234</v>
      </c>
      <c r="AL6" s="183" t="s">
        <v>221</v>
      </c>
      <c r="AM6" s="183" t="s">
        <v>223</v>
      </c>
      <c r="AN6" s="183" t="s">
        <v>234</v>
      </c>
      <c r="AO6" s="183" t="s">
        <v>221</v>
      </c>
      <c r="AP6" s="65" t="s">
        <v>235</v>
      </c>
      <c r="AQ6" s="64" t="s">
        <v>220</v>
      </c>
      <c r="AR6" s="181" t="s">
        <v>221</v>
      </c>
      <c r="AS6" s="65" t="s">
        <v>233</v>
      </c>
      <c r="AT6" s="64" t="s">
        <v>223</v>
      </c>
      <c r="AU6" s="64" t="s">
        <v>234</v>
      </c>
      <c r="AV6" s="64" t="s">
        <v>221</v>
      </c>
      <c r="AW6" s="64" t="s">
        <v>223</v>
      </c>
      <c r="AX6" s="64" t="s">
        <v>234</v>
      </c>
      <c r="AY6" s="64" t="s">
        <v>221</v>
      </c>
      <c r="AZ6" s="64" t="s">
        <v>223</v>
      </c>
      <c r="BA6" s="64" t="s">
        <v>234</v>
      </c>
      <c r="BB6" s="64" t="s">
        <v>221</v>
      </c>
      <c r="BC6" s="65" t="s">
        <v>235</v>
      </c>
      <c r="BD6" s="64" t="s">
        <v>220</v>
      </c>
      <c r="BE6" s="181" t="s">
        <v>221</v>
      </c>
      <c r="BF6" s="65" t="s">
        <v>235</v>
      </c>
      <c r="BG6" s="64" t="s">
        <v>220</v>
      </c>
      <c r="BH6" s="181" t="s">
        <v>221</v>
      </c>
      <c r="BI6" s="65" t="s">
        <v>235</v>
      </c>
      <c r="BJ6" s="64" t="s">
        <v>220</v>
      </c>
      <c r="BK6" s="181" t="s">
        <v>221</v>
      </c>
      <c r="BL6" s="65" t="s">
        <v>220</v>
      </c>
      <c r="BM6" s="181" t="s">
        <v>221</v>
      </c>
    </row>
    <row r="7" spans="1:65" ht="15.75" thickBot="1" x14ac:dyDescent="0.3">
      <c r="A7" s="9"/>
      <c r="B7" s="9"/>
      <c r="C7" s="9"/>
      <c r="D7" s="4"/>
      <c r="E7" s="5"/>
      <c r="F7" s="5"/>
      <c r="G7" s="5"/>
      <c r="H7" s="5"/>
      <c r="I7" s="5"/>
      <c r="J7" s="5"/>
      <c r="K7" s="5"/>
      <c r="L7" s="5"/>
      <c r="M7" s="9"/>
      <c r="N7" s="178" t="s">
        <v>397</v>
      </c>
      <c r="O7" s="67">
        <f>fcross</f>
        <v>8000</v>
      </c>
      <c r="P7" s="63" t="str">
        <f>COMPLEX(ADC_VINmin,0)</f>
        <v>54,631621870174</v>
      </c>
      <c r="Q7" s="64" t="str">
        <f>IMSUM(COMPLEX(1,0),IMDIV(COMPLEX(0,2*PI()*O7),COMPLEX(wp_lf_VINmin,0)))</f>
        <v>1+200,339370606007i</v>
      </c>
      <c r="R7" s="64">
        <f t="shared" ref="R7:R13" si="0">IMABS(Q7)</f>
        <v>200.34186635551495</v>
      </c>
      <c r="S7" s="64">
        <f t="shared" ref="S7:S13" si="1">IMARGUMENT(Q7)</f>
        <v>1.5658048381425413</v>
      </c>
      <c r="T7" s="64" t="str">
        <f>IMSUM(COMPLEX(1,0),IMDIV(COMPLEX(0,2*PI()*O7),COMPLEX(wz_esr_VINmin,0)))</f>
        <v>1+2,51327412287183i</v>
      </c>
      <c r="U7" s="64">
        <f t="shared" ref="U7:U13" si="2">IMABS(T7)</f>
        <v>2.704911609775293</v>
      </c>
      <c r="V7" s="64">
        <f t="shared" ref="V7:V13" si="3">IMARGUMENT(T7)</f>
        <v>1.1921125187390864</v>
      </c>
      <c r="W7" s="62" t="str">
        <f>IMSUB(COMPLEX(1,0),IMDIV(COMPLEX(0,2*PI()*O7),COMPLEX(wz_RHP_VINmin,0)))</f>
        <v>1-0,200023386803766i</v>
      </c>
      <c r="X7" s="64">
        <f t="shared" ref="X7:X13" si="4">IMABS(W7)</f>
        <v>1.0198084895059705</v>
      </c>
      <c r="Y7" s="64">
        <f t="shared" ref="Y7:Y13" si="5">IMARGUMENT(W7)</f>
        <v>-0.19741804706005506</v>
      </c>
      <c r="Z7" s="62" t="str">
        <f>IMSUM(COMPLEX(1,0),IMDIV(COMPLEX(0,2*PI()*O7),COMPLEX(Q_VINmin*(wsl_VINmin/2),0)),IMDIV(IMPOWER(COMPLEX(0,2*PI()*O7),2),IMPOWER(COMPLEX(wsl_VINmin/2,0),2)))</f>
        <v>0,999744+0,0274815955491593i</v>
      </c>
      <c r="AA7" s="64">
        <f t="shared" ref="AA7:AA13" si="6">IMABS(Z7)</f>
        <v>1.0001216444162819</v>
      </c>
      <c r="AB7" s="64">
        <f t="shared" ref="AB7:AB13" si="7">IMARGUMENT(Z7)</f>
        <v>2.7481712077800261E-2</v>
      </c>
      <c r="AC7" s="65" t="str">
        <f t="shared" ref="AC7:AC13" si="8">(IMDIV(IMPRODUCT(P7,T7,W7),IMPRODUCT(Q7,Z7)))</f>
        <v>0,621354610250105-0,423808523581393i</v>
      </c>
      <c r="AD7" s="66">
        <f t="shared" ref="AD7:AD13" si="9">20*LOG(IMABS(AC7))</f>
        <v>-2.4741749374718016</v>
      </c>
      <c r="AE7" s="67">
        <f t="shared" ref="AE7:AE13" si="10">(180/PI())*IMARGUMENT(AC7)</f>
        <v>-34.296799750380629</v>
      </c>
      <c r="AF7" s="52" t="str">
        <f t="shared" ref="AF7:AF13" si="11">COMPLEX($B$72,0)</f>
        <v>171,265703090588</v>
      </c>
      <c r="AG7" s="55" t="str">
        <f t="shared" ref="AG7:AG13" si="12">IMSUM(COMPLEX(1,0),IMDIV(COMPLEX(0,2*PI()*O7),COMPLEX(wp_lf_DCM,0)))</f>
        <v>1+198,422119336105i</v>
      </c>
      <c r="AH7" s="55">
        <f>IMABS(AG7)</f>
        <v>198.42463920045691</v>
      </c>
      <c r="AI7" s="55">
        <f>IMARGUMENT(AG7)</f>
        <v>1.5657566087580221</v>
      </c>
      <c r="AJ7" s="55" t="str">
        <f t="shared" ref="AJ7:AJ13" si="13">IMSUM(COMPLEX(1,0),IMDIV(COMPLEX(0,2*PI()*O7),COMPLEX(wz1_dcm,0)))</f>
        <v>1+2,51327412287183i</v>
      </c>
      <c r="AK7" s="55">
        <f>IMABS(AJ7)</f>
        <v>2.704911609775293</v>
      </c>
      <c r="AL7" s="55">
        <f>IMARGUMENT(AJ7)</f>
        <v>1.1921125187390864</v>
      </c>
      <c r="AM7" s="55" t="str">
        <f t="shared" ref="AM7:AM13" si="14">IMSUB(COMPLEX(1,0),IMDIV(COMPLEX(0,2*PI()*O7),COMPLEX(wz2_dcm,0)))</f>
        <v>1-0,0631942977523109i</v>
      </c>
      <c r="AN7" s="55">
        <f>IMABS(AM7)</f>
        <v>1.0019947700803671</v>
      </c>
      <c r="AO7" s="55">
        <f>IMARGUMENT(AM7)</f>
        <v>-6.3110376197553719E-2</v>
      </c>
      <c r="AP7" s="52" t="str">
        <f>(IMDIV(IMPRODUCT(AF7,AJ7,AM7),IMPRODUCT(AG7)))</f>
        <v>2,11974445191616-0,989542722995487i</v>
      </c>
      <c r="AQ7" s="55">
        <f>20*LOG(IMABS(AP7))</f>
        <v>7.3818667033866703</v>
      </c>
      <c r="AR7" s="58">
        <f>(180/PI())*IMARGUMENT(AP7)</f>
        <v>-25.024187597693967</v>
      </c>
      <c r="AS7" s="39" t="str">
        <f t="shared" ref="AS7:AS13" si="15">COMPLEX(Adc_ea,0)</f>
        <v>-0,0000166666666666667</v>
      </c>
      <c r="AT7" s="39" t="str">
        <f t="shared" ref="AT7:AT13" si="16">COMPLEX(0,2*PI()*O7*wp0_ea)</f>
        <v>0,000166579808863945i</v>
      </c>
      <c r="AU7" s="39">
        <f t="shared" ref="AU7:AU13" si="17">IMABS(AT7)</f>
        <v>1.6657980886394501E-4</v>
      </c>
      <c r="AV7" s="39">
        <f t="shared" ref="AV7:AV13" si="18">IMARGUMENT(AT7)</f>
        <v>1.5707963267948966</v>
      </c>
      <c r="AW7" s="39" t="str">
        <f t="shared" ref="AW7:AW13" si="19">IMSUM(COMPLEX(1,0),IMDIV(COMPLEX(0,2*PI()*O7),COMPLEX(wp1_ea,0)))</f>
        <v>1+0,0560595121190966i</v>
      </c>
      <c r="AX7" s="39">
        <f t="shared" ref="AX7:AX13" si="20">IMABS(AW7)</f>
        <v>1.0015701018396221</v>
      </c>
      <c r="AY7" s="39">
        <f t="shared" ref="AY7:AY13" si="21">IMARGUMENT(AW7)</f>
        <v>5.6000897108928506E-2</v>
      </c>
      <c r="AZ7" s="39" t="str">
        <f t="shared" ref="AZ7:AZ13" si="22">IMSUM(COMPLEX(1,0),IMDIV(COMPLEX(0,2*PI()*O7),COMPLEX(wz_ea,0)))</f>
        <v>1+13,2700873687633i</v>
      </c>
      <c r="BA7" s="39">
        <f t="shared" ref="BA7:BA13" si="23">IMABS(AZ7)</f>
        <v>13.307712755188671</v>
      </c>
      <c r="BB7" s="39">
        <f t="shared" ref="BB7:BB13" si="24">IMARGUMENT(AZ7)</f>
        <v>1.4955810338920592</v>
      </c>
      <c r="BC7" s="44" t="str">
        <f t="shared" ref="BC7:BC13" si="25">IMPRODUCT(AS7,IMDIV(AZ7,IMPRODUCT(AT7,AW7)))</f>
        <v>-1,31794990940071+0,173935770773607i</v>
      </c>
      <c r="BD7" s="39">
        <f t="shared" ref="BD7:BD13" si="26">20*LOG(IMABS(BC7))</f>
        <v>2.4729691299267542</v>
      </c>
      <c r="BE7" s="45">
        <f t="shared" ref="BE7:BE13" si="27">(180/PI())*IMARGUMENT(BC7)</f>
        <v>172.48186610853909</v>
      </c>
      <c r="BF7" s="44" t="str">
        <f t="shared" ref="BF7:BF13" si="28">IMPRODUCT(AC7,BC7)</f>
        <v>-0,745198790075285+0,666634198314932i</v>
      </c>
      <c r="BG7" s="46">
        <f t="shared" ref="BG7:BG13" si="29">20*LOG(IMABS(BF7))</f>
        <v>-1.2058075450485351E-3</v>
      </c>
      <c r="BH7" s="45">
        <f t="shared" ref="BH7:BH13" si="30">(180/PI())*IMARGUMENT(BF7)</f>
        <v>138.18506635815845</v>
      </c>
      <c r="BI7" s="44" t="str">
        <f>IMPRODUCT(AP7,BC7)</f>
        <v>-2,62160013211793+1,67286712720715i</v>
      </c>
      <c r="BJ7" s="46">
        <f t="shared" ref="BJ7:BJ13" si="31">20*LOG(IMABS(BI7))</f>
        <v>9.8548358333134338</v>
      </c>
      <c r="BK7" s="45">
        <f t="shared" ref="BK7:BK13" si="32">(180/PI())*IMARGUMENT(BI7)</f>
        <v>147.45767851084517</v>
      </c>
      <c r="BL7" s="41">
        <f>IF($B$31=0,BJ7,BG7)</f>
        <v>-1.2058075450485351E-3</v>
      </c>
      <c r="BM7" s="43">
        <f>IF($B$31=0,BK7,BH7)</f>
        <v>138.18506635815845</v>
      </c>
    </row>
    <row r="8" spans="1:65" ht="15.75" thickBot="1" x14ac:dyDescent="0.3">
      <c r="A8" s="9"/>
      <c r="B8" s="9"/>
      <c r="C8" s="9"/>
      <c r="D8" s="4"/>
      <c r="E8" s="5"/>
      <c r="F8" s="5"/>
      <c r="G8" s="5"/>
      <c r="H8" s="5"/>
      <c r="I8" s="5"/>
      <c r="J8" s="5"/>
      <c r="K8" s="5"/>
      <c r="L8" s="5"/>
      <c r="M8" s="9"/>
      <c r="N8" s="177" t="s">
        <v>572</v>
      </c>
      <c r="O8" s="67">
        <f>fcross</f>
        <v>8000</v>
      </c>
      <c r="P8" s="63" t="str">
        <f t="shared" ref="P8:P13" si="33">COMPLEX(Adc,0)</f>
        <v>54,631621870174</v>
      </c>
      <c r="Q8" s="64" t="str">
        <f t="shared" ref="Q8:Q13" si="34">IMSUM(COMPLEX(1,0),IMDIV(COMPLEX(0,2*PI()*O8),COMPLEX(wp_lf,0)))</f>
        <v>1+200,339370606007i</v>
      </c>
      <c r="R8" s="64">
        <f t="shared" si="0"/>
        <v>200.34186635551495</v>
      </c>
      <c r="S8" s="64">
        <f t="shared" si="1"/>
        <v>1.5658048381425413</v>
      </c>
      <c r="T8" s="64" t="str">
        <f t="shared" ref="T8:T13" si="35">IMSUM(COMPLEX(1,0),IMDIV(COMPLEX(0,2*PI()*O8),COMPLEX(wz_esr,0)))</f>
        <v>1+2,51327412287183i</v>
      </c>
      <c r="U8" s="64">
        <f t="shared" si="2"/>
        <v>2.704911609775293</v>
      </c>
      <c r="V8" s="64">
        <f t="shared" si="3"/>
        <v>1.1921125187390864</v>
      </c>
      <c r="W8" s="62" t="str">
        <f t="shared" ref="W8:W13" si="36">IMSUB(COMPLEX(1,0),IMDIV(COMPLEX(0,2*PI()*O8),COMPLEX(wz_rhp,0)))</f>
        <v>1-0,200023386803766i</v>
      </c>
      <c r="X8" s="64">
        <f t="shared" si="4"/>
        <v>1.0198084895059705</v>
      </c>
      <c r="Y8" s="64">
        <f t="shared" si="5"/>
        <v>-0.19741804706005506</v>
      </c>
      <c r="Z8" s="62" t="str">
        <f t="shared" ref="Z8:Z13" si="37">IMSUM(COMPLEX(1,0),IMDIV(COMPLEX(0,2*PI()*O8),COMPLEX(Q*(wsl/2),0)),IMDIV(IMPOWER(COMPLEX(0,2*PI()*O8),2),IMPOWER(COMPLEX(wsl/2,0),2)))</f>
        <v>0,999744+0,0274815955491593i</v>
      </c>
      <c r="AA8" s="64">
        <f t="shared" si="6"/>
        <v>1.0001216444162819</v>
      </c>
      <c r="AB8" s="64">
        <f t="shared" si="7"/>
        <v>2.7481712077800261E-2</v>
      </c>
      <c r="AC8" s="65" t="str">
        <f t="shared" si="8"/>
        <v>0,621354610250105-0,423808523581393i</v>
      </c>
      <c r="AD8" s="66">
        <f t="shared" si="9"/>
        <v>-2.4741749374718016</v>
      </c>
      <c r="AE8" s="67">
        <f t="shared" si="10"/>
        <v>-34.296799750380629</v>
      </c>
      <c r="AF8" s="41" t="str">
        <f t="shared" si="11"/>
        <v>171,265703090588</v>
      </c>
      <c r="AG8" t="str">
        <f t="shared" si="12"/>
        <v>1+198,422119336105i</v>
      </c>
      <c r="AH8">
        <f t="shared" ref="AH8:AH13" si="38">IMABS(AG8)</f>
        <v>198.42463920045691</v>
      </c>
      <c r="AI8">
        <f t="shared" ref="AI8:AI13" si="39">IMARGUMENT(AG8)</f>
        <v>1.5657566087580221</v>
      </c>
      <c r="AJ8" t="str">
        <f t="shared" si="13"/>
        <v>1+2,51327412287183i</v>
      </c>
      <c r="AK8">
        <f t="shared" ref="AK8:AK13" si="40">IMABS(AJ8)</f>
        <v>2.704911609775293</v>
      </c>
      <c r="AL8">
        <f t="shared" ref="AL8:AL13" si="41">IMARGUMENT(AJ8)</f>
        <v>1.1921125187390864</v>
      </c>
      <c r="AM8" t="str">
        <f t="shared" si="14"/>
        <v>1-0,0631942977523109i</v>
      </c>
      <c r="AN8">
        <f t="shared" ref="AN8:AN13" si="42">IMABS(AM8)</f>
        <v>1.0019947700803671</v>
      </c>
      <c r="AO8">
        <f t="shared" ref="AO8:AO13" si="43">IMARGUMENT(AM8)</f>
        <v>-6.3110376197553719E-2</v>
      </c>
      <c r="AP8" s="41" t="str">
        <f t="shared" ref="AP8:AP13" si="44">(IMDIV(IMPRODUCT(AF8,AJ8,AM8),IMPRODUCT(AG8)))</f>
        <v>2,11974445191616-0,989542722995487i</v>
      </c>
      <c r="AQ8">
        <f t="shared" ref="AQ8:AQ13" si="45">20*LOG(IMABS(AP8))</f>
        <v>7.3818667033866703</v>
      </c>
      <c r="AR8" s="43">
        <f t="shared" ref="AR8:AR13" si="46">(180/PI())*IMARGUMENT(AP8)</f>
        <v>-25.024187597693967</v>
      </c>
      <c r="AS8" s="62" t="str">
        <f t="shared" si="15"/>
        <v>-0,0000166666666666667</v>
      </c>
      <c r="AT8" s="62" t="str">
        <f t="shared" si="16"/>
        <v>0,000166579808863945i</v>
      </c>
      <c r="AU8" s="62">
        <f t="shared" si="17"/>
        <v>1.6657980886394501E-4</v>
      </c>
      <c r="AV8" s="62">
        <f t="shared" si="18"/>
        <v>1.5707963267948966</v>
      </c>
      <c r="AW8" s="62" t="str">
        <f t="shared" si="19"/>
        <v>1+0,0560595121190966i</v>
      </c>
      <c r="AX8" s="62">
        <f t="shared" si="20"/>
        <v>1.0015701018396221</v>
      </c>
      <c r="AY8" s="62">
        <f t="shared" si="21"/>
        <v>5.6000897108928506E-2</v>
      </c>
      <c r="AZ8" s="62" t="str">
        <f t="shared" si="22"/>
        <v>1+13,2700873687633i</v>
      </c>
      <c r="BA8" s="62">
        <f t="shared" si="23"/>
        <v>13.307712755188671</v>
      </c>
      <c r="BB8" s="62">
        <f t="shared" si="24"/>
        <v>1.4955810338920592</v>
      </c>
      <c r="BC8" s="61" t="str">
        <f t="shared" si="25"/>
        <v>-1,31794990940071+0,173935770773607i</v>
      </c>
      <c r="BD8" s="62">
        <f t="shared" si="26"/>
        <v>2.4729691299267542</v>
      </c>
      <c r="BE8" s="67">
        <f t="shared" si="27"/>
        <v>172.48186610853909</v>
      </c>
      <c r="BF8" s="61" t="str">
        <f t="shared" si="28"/>
        <v>-0,745198790075285+0,666634198314932i</v>
      </c>
      <c r="BG8" s="66">
        <f t="shared" si="29"/>
        <v>-1.2058075450485351E-3</v>
      </c>
      <c r="BH8" s="67">
        <f t="shared" si="30"/>
        <v>138.18506635815845</v>
      </c>
      <c r="BI8" s="61" t="str">
        <f t="shared" ref="BI8:BI13" si="47">IMPRODUCT(AP8,BC8)</f>
        <v>-2,62160013211793+1,67286712720715i</v>
      </c>
      <c r="BJ8" s="66">
        <f t="shared" si="31"/>
        <v>9.8548358333134338</v>
      </c>
      <c r="BK8" s="67">
        <f t="shared" si="32"/>
        <v>147.45767851084517</v>
      </c>
      <c r="BL8" s="41">
        <f t="shared" ref="BL8:BL13" si="48">IF($B$31=0,BJ8,BG8)</f>
        <v>-1.2058075450485351E-3</v>
      </c>
      <c r="BM8" s="43">
        <f t="shared" ref="BM8:BM13" si="49">IF($B$31=0,BK8,BH8)</f>
        <v>138.18506635815845</v>
      </c>
    </row>
    <row r="9" spans="1:65" ht="15.75" thickBot="1" x14ac:dyDescent="0.3">
      <c r="A9" s="50" t="s">
        <v>172</v>
      </c>
      <c r="B9" s="9"/>
      <c r="C9" s="9"/>
      <c r="D9" s="4"/>
      <c r="E9" s="5"/>
      <c r="F9" s="5"/>
      <c r="G9" s="5"/>
      <c r="H9" s="5"/>
      <c r="I9" s="5"/>
      <c r="J9" s="5"/>
      <c r="K9" s="5"/>
      <c r="L9" s="5"/>
      <c r="M9" s="9"/>
      <c r="N9" s="179" t="s">
        <v>258</v>
      </c>
      <c r="O9" s="68">
        <f>IF($B$31=0,B78,wz_rhp/(2*PI()))</f>
        <v>39995.323186125308</v>
      </c>
      <c r="P9" s="53" t="str">
        <f t="shared" si="33"/>
        <v>54,631621870174</v>
      </c>
      <c r="Q9" s="54" t="str">
        <f t="shared" si="34"/>
        <v>1+1001,57973428653i</v>
      </c>
      <c r="R9" s="54">
        <f t="shared" si="0"/>
        <v>1001.5802334977843</v>
      </c>
      <c r="S9" s="54">
        <f t="shared" si="1"/>
        <v>1.5697979043693173</v>
      </c>
      <c r="T9" s="54" t="str">
        <f t="shared" si="35"/>
        <v>1+12,5649013499481i</v>
      </c>
      <c r="U9" s="54">
        <f t="shared" si="2"/>
        <v>12.604631923778163</v>
      </c>
      <c r="V9" s="54">
        <f t="shared" si="3"/>
        <v>1.4913769498774898</v>
      </c>
      <c r="W9" s="55" t="str">
        <f t="shared" si="36"/>
        <v>1-i</v>
      </c>
      <c r="X9" s="54">
        <f t="shared" si="4"/>
        <v>1.4142135623730951</v>
      </c>
      <c r="Y9" s="54">
        <f t="shared" si="5"/>
        <v>-0.78539816339744828</v>
      </c>
      <c r="Z9" s="55" t="str">
        <f t="shared" si="37"/>
        <v>0,993601496492949+0,137391911957376i</v>
      </c>
      <c r="AA9" s="54">
        <f t="shared" si="6"/>
        <v>1.003055567406079</v>
      </c>
      <c r="AB9" s="54">
        <f t="shared" si="7"/>
        <v>0.13740534665263629</v>
      </c>
      <c r="AC9" s="56" t="str">
        <f t="shared" si="8"/>
        <v>0,522740357737681-0,816316657400254i</v>
      </c>
      <c r="AD9" s="57">
        <f t="shared" si="9"/>
        <v>-0.27042956239022531</v>
      </c>
      <c r="AE9" s="58">
        <f t="shared" si="10"/>
        <v>-57.36593616349731</v>
      </c>
      <c r="AF9" s="41" t="str">
        <f t="shared" si="11"/>
        <v>171,265703090588</v>
      </c>
      <c r="AG9" t="str">
        <f t="shared" si="12"/>
        <v>1+991,994598765432i</v>
      </c>
      <c r="AH9">
        <f t="shared" si="38"/>
        <v>991.99510280030643</v>
      </c>
      <c r="AI9">
        <f t="shared" si="39"/>
        <v>1.5697882571315036</v>
      </c>
      <c r="AJ9" t="str">
        <f t="shared" si="13"/>
        <v>1+12,5649013499481i</v>
      </c>
      <c r="AK9">
        <f t="shared" si="40"/>
        <v>12.604631923778163</v>
      </c>
      <c r="AL9">
        <f t="shared" si="41"/>
        <v>1.4913769498774898</v>
      </c>
      <c r="AM9" t="str">
        <f t="shared" si="14"/>
        <v>1-0,315934545265489i</v>
      </c>
      <c r="AN9">
        <f t="shared" si="42"/>
        <v>1.0487204760526569</v>
      </c>
      <c r="AO9">
        <f t="shared" si="43"/>
        <v>-0.30601078238463258</v>
      </c>
      <c r="AP9" s="41" t="str">
        <f t="shared" si="44"/>
        <v>2,11562017310249-0,855872819613453i</v>
      </c>
      <c r="AQ9">
        <f t="shared" si="45"/>
        <v>7.167015785828589</v>
      </c>
      <c r="AR9" s="43">
        <f t="shared" si="46"/>
        <v>-22.025763287894193</v>
      </c>
      <c r="AS9" s="55" t="str">
        <f t="shared" si="15"/>
        <v>-0,0000166666666666667</v>
      </c>
      <c r="AT9" s="55" t="str">
        <f t="shared" si="16"/>
        <v>0,000832801661474559i</v>
      </c>
      <c r="AU9" s="55">
        <f t="shared" si="17"/>
        <v>8.3280166147455903E-4</v>
      </c>
      <c r="AV9" s="55">
        <f t="shared" si="18"/>
        <v>1.5707963267948966</v>
      </c>
      <c r="AW9" s="55" t="str">
        <f t="shared" si="19"/>
        <v>1+0,280264788107472i</v>
      </c>
      <c r="AX9" s="55">
        <f t="shared" si="20"/>
        <v>1.0385318249591229</v>
      </c>
      <c r="AY9" s="55">
        <f t="shared" si="21"/>
        <v>0.27325422413553885</v>
      </c>
      <c r="AZ9" s="55" t="str">
        <f t="shared" si="22"/>
        <v>1+66,3426791277259i</v>
      </c>
      <c r="BA9" s="55">
        <f t="shared" si="23"/>
        <v>66.350215326285095</v>
      </c>
      <c r="BB9" s="55">
        <f t="shared" si="24"/>
        <v>1.555724215008804</v>
      </c>
      <c r="BC9" s="52" t="str">
        <f t="shared" si="25"/>
        <v>-1,22580669453572+0,363563221775621i</v>
      </c>
      <c r="BD9" s="55">
        <f t="shared" si="26"/>
        <v>2.1345938724154214</v>
      </c>
      <c r="BE9" s="58">
        <f t="shared" si="27"/>
        <v>163.4801178292193</v>
      </c>
      <c r="BF9" s="52" t="str">
        <f t="shared" si="28"/>
        <v>-0,343995916065304+1,19069559211351i</v>
      </c>
      <c r="BG9" s="57">
        <f t="shared" si="29"/>
        <v>1.864164310025227</v>
      </c>
      <c r="BH9" s="58">
        <f t="shared" si="30"/>
        <v>106.11418166572192</v>
      </c>
      <c r="BI9" s="61" t="str">
        <f t="shared" si="47"/>
        <v>-2,282177491555+1,81829631813997i</v>
      </c>
      <c r="BJ9" s="57">
        <f t="shared" si="31"/>
        <v>9.3016096582440095</v>
      </c>
      <c r="BK9" s="58">
        <f t="shared" si="32"/>
        <v>141.45435454132513</v>
      </c>
      <c r="BL9" s="41">
        <f t="shared" si="48"/>
        <v>1.864164310025227</v>
      </c>
      <c r="BM9" s="43">
        <f t="shared" si="49"/>
        <v>106.11418166572192</v>
      </c>
    </row>
    <row r="10" spans="1:65" ht="15.75" thickBot="1" x14ac:dyDescent="0.3">
      <c r="A10" t="s">
        <v>25</v>
      </c>
      <c r="B10" s="3">
        <f>VIN_min</f>
        <v>11</v>
      </c>
      <c r="C10" t="s">
        <v>10</v>
      </c>
      <c r="E10" t="s">
        <v>28</v>
      </c>
      <c r="N10" s="178" t="s">
        <v>219</v>
      </c>
      <c r="O10" s="69">
        <f>IF(B31=0,B76,wz_esr/(2*PI()))</f>
        <v>3183.098861837907</v>
      </c>
      <c r="P10" s="33" t="str">
        <f t="shared" si="33"/>
        <v>54,631621870174</v>
      </c>
      <c r="Q10" s="4" t="str">
        <f t="shared" si="34"/>
        <v>1+79,712502819663i</v>
      </c>
      <c r="R10" s="4">
        <f t="shared" si="0"/>
        <v>79.718775114616392</v>
      </c>
      <c r="S10" s="4">
        <f t="shared" si="1"/>
        <v>1.5582519013926603</v>
      </c>
      <c r="T10" s="4" t="str">
        <f t="shared" si="35"/>
        <v>1+i</v>
      </c>
      <c r="U10" s="4">
        <f t="shared" si="2"/>
        <v>1.4142135623730951</v>
      </c>
      <c r="V10" s="4">
        <f t="shared" si="3"/>
        <v>0.78539816339744828</v>
      </c>
      <c r="W10" t="str">
        <f t="shared" si="36"/>
        <v>1-0,079586776859504i</v>
      </c>
      <c r="X10" s="4">
        <f t="shared" si="4"/>
        <v>1.0031620283139133</v>
      </c>
      <c r="Y10" s="4">
        <f t="shared" si="5"/>
        <v>-7.9419376917406845E-2</v>
      </c>
      <c r="Z10" t="str">
        <f t="shared" si="37"/>
        <v>0,999959471526543+0,0109345794392523i</v>
      </c>
      <c r="AA10" s="4">
        <f t="shared" si="6"/>
        <v>1.000019254676207</v>
      </c>
      <c r="AB10" s="4">
        <f t="shared" si="7"/>
        <v>1.0934586799538853E-2</v>
      </c>
      <c r="AC10" s="47" t="str">
        <f t="shared" si="8"/>
        <v>0,631941214545262-0,738814883386911i</v>
      </c>
      <c r="AD10" s="20">
        <f t="shared" si="9"/>
        <v>-0.24477605476021128</v>
      </c>
      <c r="AE10" s="43">
        <f t="shared" si="10"/>
        <v>-49.458158151294299</v>
      </c>
      <c r="AF10" s="41" t="str">
        <f t="shared" si="11"/>
        <v>171,265703090588</v>
      </c>
      <c r="AG10" t="str">
        <f t="shared" si="12"/>
        <v>1+78,9496527777777i</v>
      </c>
      <c r="AH10">
        <f t="shared" si="38"/>
        <v>78.955985673865555</v>
      </c>
      <c r="AI10">
        <f t="shared" si="39"/>
        <v>1.558130703938071</v>
      </c>
      <c r="AJ10" t="str">
        <f t="shared" si="13"/>
        <v>1+i</v>
      </c>
      <c r="AK10">
        <f t="shared" si="40"/>
        <v>1.4142135623730951</v>
      </c>
      <c r="AL10">
        <f t="shared" si="41"/>
        <v>0.78539816339744828</v>
      </c>
      <c r="AM10" t="str">
        <f t="shared" si="14"/>
        <v>1-0,0251442121562533i</v>
      </c>
      <c r="AN10">
        <f t="shared" si="42"/>
        <v>1.0003160657536991</v>
      </c>
      <c r="AO10">
        <f t="shared" si="43"/>
        <v>-2.5138915178598162E-2</v>
      </c>
      <c r="AP10" s="41" t="str">
        <f t="shared" si="44"/>
        <v>2,1425815769571-2,19670963183827i</v>
      </c>
      <c r="AQ10">
        <f t="shared" si="45"/>
        <v>9.7387516794794156</v>
      </c>
      <c r="AR10" s="43">
        <f t="shared" si="46"/>
        <v>-45.714667006670652</v>
      </c>
      <c r="AS10" t="str">
        <f t="shared" si="15"/>
        <v>-0,0000166666666666667</v>
      </c>
      <c r="AT10" t="str">
        <f t="shared" si="16"/>
        <v>0,00006628i</v>
      </c>
      <c r="AU10">
        <f t="shared" si="17"/>
        <v>6.6279999999999996E-5</v>
      </c>
      <c r="AV10">
        <f t="shared" si="18"/>
        <v>1.5707963267948966</v>
      </c>
      <c r="AW10" t="str">
        <f t="shared" si="19"/>
        <v>1+0,0223053711526856i</v>
      </c>
      <c r="AX10">
        <f t="shared" si="20"/>
        <v>1.0002487338568637</v>
      </c>
      <c r="AY10">
        <f t="shared" si="21"/>
        <v>2.230167306257114E-2</v>
      </c>
      <c r="AZ10" t="str">
        <f t="shared" si="22"/>
        <v>1+5,28i</v>
      </c>
      <c r="BA10">
        <f t="shared" si="23"/>
        <v>5.3738626703703547</v>
      </c>
      <c r="BB10">
        <f t="shared" si="24"/>
        <v>1.3836193893553341</v>
      </c>
      <c r="BC10" s="41" t="str">
        <f t="shared" si="25"/>
        <v>-1,32143433691783+0,280933542401419i</v>
      </c>
      <c r="BD10">
        <f t="shared" si="26"/>
        <v>2.6128960671478603</v>
      </c>
      <c r="BE10" s="43">
        <f t="shared" si="27"/>
        <v>167.99775971996286</v>
      </c>
      <c r="BF10" s="41" t="str">
        <f t="shared" si="28"/>
        <v>-0,62751093744489+1,15382883952506i</v>
      </c>
      <c r="BG10" s="20">
        <f t="shared" si="29"/>
        <v>2.3681200123876329</v>
      </c>
      <c r="BH10" s="43">
        <f t="shared" si="30"/>
        <v>118.5396015686686</v>
      </c>
      <c r="BI10" s="61" t="str">
        <f t="shared" si="47"/>
        <v>-2,21415144693902+3,50473056804779i</v>
      </c>
      <c r="BJ10" s="20">
        <f t="shared" si="31"/>
        <v>12.35164774662727</v>
      </c>
      <c r="BK10" s="43">
        <f t="shared" si="32"/>
        <v>122.28309271329221</v>
      </c>
      <c r="BL10" s="41">
        <f t="shared" si="48"/>
        <v>2.3681200123876329</v>
      </c>
      <c r="BM10" s="43">
        <f t="shared" si="49"/>
        <v>118.5396015686686</v>
      </c>
    </row>
    <row r="11" spans="1:65" ht="15.75" thickBot="1" x14ac:dyDescent="0.3">
      <c r="A11" t="s">
        <v>26</v>
      </c>
      <c r="B11" s="3">
        <f>VIN_nom</f>
        <v>11</v>
      </c>
      <c r="C11" t="s">
        <v>10</v>
      </c>
      <c r="E11" t="s">
        <v>29</v>
      </c>
      <c r="N11" s="180" t="s">
        <v>217</v>
      </c>
      <c r="O11" s="70">
        <f>IF(B31=0,B74,wp_lf/(2*PI()))</f>
        <v>39.932240856107185</v>
      </c>
      <c r="P11" s="59" t="str">
        <f t="shared" si="33"/>
        <v>54,631621870174</v>
      </c>
      <c r="Q11" s="38" t="str">
        <f t="shared" si="34"/>
        <v>1+i</v>
      </c>
      <c r="R11" s="38">
        <f t="shared" si="0"/>
        <v>1.4142135623730951</v>
      </c>
      <c r="S11" s="38">
        <f t="shared" si="1"/>
        <v>0.78539816339744828</v>
      </c>
      <c r="T11" s="38" t="str">
        <f t="shared" si="35"/>
        <v>1+0,0125450834514924i</v>
      </c>
      <c r="U11" s="38">
        <f t="shared" si="2"/>
        <v>1.0000786864636226</v>
      </c>
      <c r="V11" s="38">
        <f t="shared" si="3"/>
        <v>1.2544425402236232E-2</v>
      </c>
      <c r="W11" s="39" t="str">
        <f t="shared" si="36"/>
        <v>1-0,000998422757337786i</v>
      </c>
      <c r="X11" s="38">
        <f t="shared" si="4"/>
        <v>1.0000004984238771</v>
      </c>
      <c r="Y11" s="38">
        <f t="shared" si="5"/>
        <v>-9.9842242557940733E-4</v>
      </c>
      <c r="Z11" s="39" t="str">
        <f t="shared" si="37"/>
        <v>0,999999993621665+0,000137175211572394i</v>
      </c>
      <c r="AA11" s="38">
        <f t="shared" si="6"/>
        <v>1.0000000030301843</v>
      </c>
      <c r="AB11" s="38">
        <f t="shared" si="7"/>
        <v>1.3717521158693302E-4</v>
      </c>
      <c r="AC11" s="42" t="str">
        <f t="shared" si="8"/>
        <v>27,6278552973638-27,0045367024132i</v>
      </c>
      <c r="AD11" s="46">
        <f t="shared" si="9"/>
        <v>31.739269656842982</v>
      </c>
      <c r="AE11" s="45">
        <f t="shared" si="10"/>
        <v>-44.346322319869941</v>
      </c>
      <c r="AF11" s="41" t="str">
        <f t="shared" si="11"/>
        <v>171,265703090588</v>
      </c>
      <c r="AG11" t="str">
        <f t="shared" si="12"/>
        <v>1+0,990429982563574i</v>
      </c>
      <c r="AH11">
        <f t="shared" si="38"/>
        <v>1.4074628060310799</v>
      </c>
      <c r="AI11">
        <f t="shared" si="39"/>
        <v>0.7805901853334678</v>
      </c>
      <c r="AJ11" t="str">
        <f t="shared" si="13"/>
        <v>1+0,0125450834514924i</v>
      </c>
      <c r="AK11">
        <f t="shared" si="40"/>
        <v>1.0000786864636226</v>
      </c>
      <c r="AL11">
        <f t="shared" si="41"/>
        <v>1.2544425402236232E-2</v>
      </c>
      <c r="AM11" t="str">
        <f t="shared" si="14"/>
        <v>1-0,000315436239822229i</v>
      </c>
      <c r="AN11">
        <f t="shared" si="42"/>
        <v>1.0000000497500094</v>
      </c>
      <c r="AO11">
        <f t="shared" si="43"/>
        <v>-3.1543622936025875E-4</v>
      </c>
      <c r="AP11" s="41" t="str">
        <f t="shared" si="44"/>
        <v>87,5038338675505-84,5719015234274i</v>
      </c>
      <c r="AQ11">
        <f t="shared" si="45"/>
        <v>41.705353364943747</v>
      </c>
      <c r="AR11" s="43">
        <f t="shared" si="46"/>
        <v>-44.023853681625475</v>
      </c>
      <c r="AS11" s="39" t="str">
        <f t="shared" si="15"/>
        <v>-0,0000166666666666667</v>
      </c>
      <c r="AT11" s="39" t="str">
        <f t="shared" si="16"/>
        <v>8,3148813116492E-07i</v>
      </c>
      <c r="AU11" s="39">
        <f t="shared" si="17"/>
        <v>8.3148813116492E-7</v>
      </c>
      <c r="AV11" s="39">
        <f t="shared" si="18"/>
        <v>1.5707963267948966</v>
      </c>
      <c r="AW11" s="39" t="str">
        <f t="shared" si="19"/>
        <v>1+0,000279822742526953i</v>
      </c>
      <c r="AX11" s="39">
        <f t="shared" si="20"/>
        <v>1.0000000391503829</v>
      </c>
      <c r="AY11" s="39">
        <f t="shared" si="21"/>
        <v>2.7982273522350821E-4</v>
      </c>
      <c r="AZ11" s="39" t="str">
        <f t="shared" si="22"/>
        <v>1+0,0662380406238801i</v>
      </c>
      <c r="BA11" s="39">
        <f t="shared" si="23"/>
        <v>1.0021913380316609</v>
      </c>
      <c r="BB11" s="39">
        <f t="shared" si="24"/>
        <v>6.6141422194137614E-2</v>
      </c>
      <c r="BC11" s="44" t="str">
        <f t="shared" si="25"/>
        <v>-1,32209168607067+20,0447530783742i</v>
      </c>
      <c r="BD11" s="39">
        <f t="shared" si="26"/>
        <v>26.058866460538216</v>
      </c>
      <c r="BE11" s="45">
        <f t="shared" si="27"/>
        <v>93.773591680976878</v>
      </c>
      <c r="BF11" s="44" t="str">
        <f t="shared" si="28"/>
        <v>504,772712403158+589,496010981161i</v>
      </c>
      <c r="BG11" s="46">
        <f t="shared" si="29"/>
        <v>57.798136117381198</v>
      </c>
      <c r="BH11" s="45">
        <f t="shared" si="30"/>
        <v>49.427269361106951</v>
      </c>
      <c r="BI11" s="61" t="str">
        <f t="shared" si="47"/>
        <v>1579,53479215008+1865,80455116544i</v>
      </c>
      <c r="BJ11" s="46">
        <f t="shared" si="31"/>
        <v>67.764219825481973</v>
      </c>
      <c r="BK11" s="45">
        <f t="shared" si="32"/>
        <v>49.749737999351503</v>
      </c>
      <c r="BL11" s="41">
        <f t="shared" si="48"/>
        <v>57.798136117381198</v>
      </c>
      <c r="BM11" s="43">
        <f t="shared" si="49"/>
        <v>49.427269361106951</v>
      </c>
    </row>
    <row r="12" spans="1:65" ht="15.75" thickBot="1" x14ac:dyDescent="0.3">
      <c r="A12" t="s">
        <v>27</v>
      </c>
      <c r="B12" s="3">
        <f>VIN_max</f>
        <v>22</v>
      </c>
      <c r="C12" t="s">
        <v>10</v>
      </c>
      <c r="E12" t="s">
        <v>30</v>
      </c>
      <c r="N12" s="179" t="s">
        <v>226</v>
      </c>
      <c r="O12" s="58">
        <f>wz_ea/(2*PI())</f>
        <v>602.85963292384599</v>
      </c>
      <c r="P12" s="53" t="str">
        <f t="shared" si="33"/>
        <v>54,631621870174</v>
      </c>
      <c r="Q12" s="54" t="str">
        <f t="shared" si="34"/>
        <v>1+15,0970649279665i</v>
      </c>
      <c r="R12" s="54">
        <f t="shared" si="0"/>
        <v>15.130147700509607</v>
      </c>
      <c r="S12" s="54">
        <f t="shared" si="1"/>
        <v>1.5046549046007591</v>
      </c>
      <c r="T12" s="54" t="str">
        <f t="shared" si="35"/>
        <v>1+0,18939393939394i</v>
      </c>
      <c r="U12" s="54">
        <f t="shared" si="2"/>
        <v>1.0177770209034764</v>
      </c>
      <c r="V12" s="54">
        <f t="shared" si="3"/>
        <v>0.18717693743956318</v>
      </c>
      <c r="W12" s="55" t="str">
        <f t="shared" si="36"/>
        <v>1-0,0150732531930879i</v>
      </c>
      <c r="X12" s="54">
        <f t="shared" si="4"/>
        <v>1.0001135950289961</v>
      </c>
      <c r="Y12" s="54">
        <f t="shared" si="5"/>
        <v>-1.5072111786092565E-2</v>
      </c>
      <c r="Z12" s="55" t="str">
        <f t="shared" si="37"/>
        <v>0,999998546241052+0,00207094307561597i</v>
      </c>
      <c r="AA12" s="54">
        <f t="shared" si="6"/>
        <v>1.0000006906444816</v>
      </c>
      <c r="AB12" s="54">
        <f t="shared" si="7"/>
        <v>2.0709431256432545E-3</v>
      </c>
      <c r="AC12" s="56" t="str">
        <f t="shared" si="8"/>
        <v>0,859987516262641-3,57335436641753i</v>
      </c>
      <c r="AD12" s="57">
        <f t="shared" si="9"/>
        <v>11.306051967223977</v>
      </c>
      <c r="AE12" s="58">
        <f t="shared" si="10"/>
        <v>-76.468151814215275</v>
      </c>
      <c r="AF12" s="41" t="str">
        <f t="shared" si="11"/>
        <v>171,265703090588</v>
      </c>
      <c r="AG12" t="str">
        <f t="shared" si="12"/>
        <v>1+14,952585753367i</v>
      </c>
      <c r="AH12">
        <f t="shared" si="38"/>
        <v>14.985987478701354</v>
      </c>
      <c r="AI12">
        <f t="shared" si="39"/>
        <v>1.504017703161254</v>
      </c>
      <c r="AJ12" t="str">
        <f t="shared" si="13"/>
        <v>1+0,18939393939394i</v>
      </c>
      <c r="AK12">
        <f t="shared" si="40"/>
        <v>1.0177770209034764</v>
      </c>
      <c r="AL12">
        <f t="shared" si="41"/>
        <v>0.18717693743956318</v>
      </c>
      <c r="AM12" t="str">
        <f t="shared" si="14"/>
        <v>1-0,0047621613932298i</v>
      </c>
      <c r="AN12">
        <f t="shared" si="42"/>
        <v>1.0000113390262808</v>
      </c>
      <c r="AO12">
        <f t="shared" si="43"/>
        <v>-4.7621253946667384E-3</v>
      </c>
      <c r="AP12" s="41" t="str">
        <f t="shared" si="44"/>
        <v>2,86863373853176-11,2724006982409i</v>
      </c>
      <c r="AQ12">
        <f t="shared" si="45"/>
        <v>21.312852042104101</v>
      </c>
      <c r="AR12" s="43">
        <f t="shared" si="46"/>
        <v>-75.722267853254962</v>
      </c>
      <c r="AS12" s="55" t="str">
        <f t="shared" si="15"/>
        <v>-0,0000166666666666667</v>
      </c>
      <c r="AT12" s="55" t="str">
        <f t="shared" si="16"/>
        <v>0,0000125530303030303i</v>
      </c>
      <c r="AU12" s="55">
        <f t="shared" si="17"/>
        <v>1.2553030303030299E-5</v>
      </c>
      <c r="AV12" s="55">
        <f t="shared" si="18"/>
        <v>1.5707963267948966</v>
      </c>
      <c r="AW12" s="55" t="str">
        <f t="shared" si="19"/>
        <v>1+0,00422450211225106i</v>
      </c>
      <c r="AX12" s="55">
        <f t="shared" si="20"/>
        <v>1.0000089231692368</v>
      </c>
      <c r="AY12" s="55">
        <f t="shared" si="21"/>
        <v>4.2244769817765043E-3</v>
      </c>
      <c r="AZ12" s="55" t="str">
        <f t="shared" si="22"/>
        <v>1+i</v>
      </c>
      <c r="BA12" s="55">
        <f t="shared" si="23"/>
        <v>1.4142135623730951</v>
      </c>
      <c r="BB12" s="55">
        <f t="shared" si="24"/>
        <v>0.78539816339744828</v>
      </c>
      <c r="BC12" s="52" t="str">
        <f t="shared" si="25"/>
        <v>-1,32206819540969+1,33328574373438i</v>
      </c>
      <c r="BD12" s="55">
        <f t="shared" si="26"/>
        <v>5.4722258993797794</v>
      </c>
      <c r="BE12" s="58">
        <f t="shared" si="27"/>
        <v>134.75795529829401</v>
      </c>
      <c r="BF12" s="52" t="str">
        <f t="shared" si="28"/>
        <v>3,62734029035528+5,87082725399148i</v>
      </c>
      <c r="BG12" s="57">
        <f t="shared" si="29"/>
        <v>16.778277866603762</v>
      </c>
      <c r="BH12" s="58">
        <f t="shared" si="30"/>
        <v>58.289803484078725</v>
      </c>
      <c r="BI12" s="61" t="str">
        <f t="shared" si="47"/>
        <v>11,236801718634+18,7275909166381i</v>
      </c>
      <c r="BJ12" s="57">
        <f t="shared" si="31"/>
        <v>26.785077941483863</v>
      </c>
      <c r="BK12" s="58">
        <f t="shared" si="32"/>
        <v>59.035687445039073</v>
      </c>
      <c r="BL12" s="41">
        <f t="shared" si="48"/>
        <v>16.778277866603762</v>
      </c>
      <c r="BM12" s="43">
        <f t="shared" si="49"/>
        <v>58.289803484078725</v>
      </c>
    </row>
    <row r="13" spans="1:65" ht="15.75" thickBot="1" x14ac:dyDescent="0.3">
      <c r="A13" t="s">
        <v>64</v>
      </c>
      <c r="B13" s="3">
        <f>Fsw</f>
        <v>1000000</v>
      </c>
      <c r="C13" t="s">
        <v>65</v>
      </c>
      <c r="E13" t="s">
        <v>66</v>
      </c>
      <c r="N13" s="180" t="s">
        <v>232</v>
      </c>
      <c r="O13" s="45">
        <f>wp1_ea/(2*PI())</f>
        <v>142705.4873935447</v>
      </c>
      <c r="P13" s="59" t="str">
        <f t="shared" si="33"/>
        <v>54,631621870174</v>
      </c>
      <c r="Q13" s="38" t="str">
        <f t="shared" si="34"/>
        <v>1+3573,69094080578i</v>
      </c>
      <c r="R13" s="38">
        <f t="shared" si="0"/>
        <v>3573.6910807171489</v>
      </c>
      <c r="S13" s="38">
        <f t="shared" si="1"/>
        <v>1.5705165040596731</v>
      </c>
      <c r="T13" s="38" t="str">
        <f t="shared" si="35"/>
        <v>1+44,8322510822511i</v>
      </c>
      <c r="U13" s="38">
        <f t="shared" si="2"/>
        <v>44.843402380974673</v>
      </c>
      <c r="V13" s="38">
        <f t="shared" si="3"/>
        <v>1.5484946537323254</v>
      </c>
      <c r="W13" s="39" t="str">
        <f t="shared" si="36"/>
        <v>1-3,56805436299237i</v>
      </c>
      <c r="X13" s="38">
        <f t="shared" si="4"/>
        <v>3.7055380091518275</v>
      </c>
      <c r="Y13" s="38">
        <f t="shared" si="5"/>
        <v>-1.2975421026593572</v>
      </c>
      <c r="Z13" s="39" t="str">
        <f t="shared" si="37"/>
        <v>0,918540575471083+0,490221810899381i</v>
      </c>
      <c r="AA13" s="38">
        <f t="shared" si="6"/>
        <v>1.0411696368355239</v>
      </c>
      <c r="AB13" s="38">
        <f t="shared" si="7"/>
        <v>0.49023995860531733</v>
      </c>
      <c r="AC13" s="42" t="str">
        <f t="shared" si="8"/>
        <v>-0,57759627348704-2,37045128151908i</v>
      </c>
      <c r="AD13" s="46">
        <f t="shared" si="9"/>
        <v>7.7471083918291397</v>
      </c>
      <c r="AE13" s="45">
        <f t="shared" si="10"/>
        <v>-103.69412588049039</v>
      </c>
      <c r="AF13" s="44" t="str">
        <f t="shared" si="11"/>
        <v>171,265703090588</v>
      </c>
      <c r="AG13" s="39" t="str">
        <f t="shared" si="12"/>
        <v>1+3539,49065618987i</v>
      </c>
      <c r="AH13" s="39">
        <f t="shared" si="38"/>
        <v>3539.4907974531302</v>
      </c>
      <c r="AI13" s="39">
        <f t="shared" si="39"/>
        <v>1.5705138002761039</v>
      </c>
      <c r="AJ13" s="39" t="str">
        <f t="shared" si="13"/>
        <v>1+44,8322510822511i</v>
      </c>
      <c r="AK13" s="39">
        <f t="shared" si="40"/>
        <v>44.843402380974673</v>
      </c>
      <c r="AL13" s="39">
        <f t="shared" si="41"/>
        <v>1.5484946537323254</v>
      </c>
      <c r="AM13" s="39" t="str">
        <f t="shared" si="14"/>
        <v>1-1,12727163265454i</v>
      </c>
      <c r="AN13" s="39">
        <f t="shared" si="42"/>
        <v>1.5068979175072319</v>
      </c>
      <c r="AO13" s="39">
        <f t="shared" si="43"/>
        <v>-0.84515550773288095</v>
      </c>
      <c r="AP13" s="44" t="str">
        <f t="shared" si="44"/>
        <v>2,11546178370137-2,49318294290175i</v>
      </c>
      <c r="AQ13" s="39">
        <f t="shared" si="45"/>
        <v>10.290240062950794</v>
      </c>
      <c r="AR13" s="45">
        <f t="shared" si="46"/>
        <v>-49.685447790768826</v>
      </c>
      <c r="AS13" s="39" t="str">
        <f t="shared" si="15"/>
        <v>-0,0000166666666666667</v>
      </c>
      <c r="AT13" s="39" t="str">
        <f t="shared" si="16"/>
        <v>0,0029714816017316i</v>
      </c>
      <c r="AU13" s="39">
        <f t="shared" si="17"/>
        <v>2.9714816017316001E-3</v>
      </c>
      <c r="AV13" s="39">
        <f t="shared" si="18"/>
        <v>1.5707963267948966</v>
      </c>
      <c r="AW13" s="39" t="str">
        <f t="shared" si="19"/>
        <v>1+i</v>
      </c>
      <c r="AX13" s="39">
        <f t="shared" si="20"/>
        <v>1.4142135623730951</v>
      </c>
      <c r="AY13" s="39">
        <f t="shared" si="21"/>
        <v>0.78539816339744828</v>
      </c>
      <c r="AZ13" s="39" t="str">
        <f t="shared" si="22"/>
        <v>1+236,714285714286i</v>
      </c>
      <c r="BA13" s="39">
        <f t="shared" si="23"/>
        <v>236.71639795591821</v>
      </c>
      <c r="BB13" s="39">
        <f t="shared" si="24"/>
        <v>1.56657184981312</v>
      </c>
      <c r="BC13" s="44" t="str">
        <f t="shared" si="25"/>
        <v>-0,661045894795731+0,666654769054605i</v>
      </c>
      <c r="BD13" s="39">
        <f t="shared" si="26"/>
        <v>-0.54821900326497919</v>
      </c>
      <c r="BE13" s="45">
        <f t="shared" si="27"/>
        <v>134.75795529829398</v>
      </c>
      <c r="BF13" s="44" t="str">
        <f t="shared" si="28"/>
        <v>1,96209029707421+1,18191977815316i</v>
      </c>
      <c r="BG13" s="46">
        <f t="shared" si="29"/>
        <v>7.198889388564135</v>
      </c>
      <c r="BH13" s="45">
        <f t="shared" si="30"/>
        <v>31.063829417803575</v>
      </c>
      <c r="BI13" s="61" t="str">
        <f t="shared" si="47"/>
        <v>0,263674971298001+3,05839103623722i</v>
      </c>
      <c r="BJ13" s="46">
        <f t="shared" si="31"/>
        <v>9.742021059685813</v>
      </c>
      <c r="BK13" s="45">
        <f t="shared" si="32"/>
        <v>85.072507507525174</v>
      </c>
      <c r="BL13" s="44">
        <f t="shared" si="48"/>
        <v>7.198889388564135</v>
      </c>
      <c r="BM13" s="45">
        <f t="shared" si="49"/>
        <v>31.063829417803575</v>
      </c>
    </row>
    <row r="15" spans="1:65" ht="15.75" thickBot="1" x14ac:dyDescent="0.3">
      <c r="A15" s="49" t="s">
        <v>456</v>
      </c>
      <c r="O15" s="34" t="s">
        <v>196</v>
      </c>
      <c r="P15">
        <f>B16</f>
        <v>11</v>
      </c>
      <c r="Q15" t="s">
        <v>10</v>
      </c>
    </row>
    <row r="16" spans="1:65" ht="15.75" thickBot="1" x14ac:dyDescent="0.3">
      <c r="A16" t="s">
        <v>198</v>
      </c>
      <c r="B16">
        <f>VIN_var</f>
        <v>11</v>
      </c>
      <c r="C16" t="s">
        <v>10</v>
      </c>
      <c r="E16" t="s">
        <v>199</v>
      </c>
      <c r="O16" s="48"/>
      <c r="P16" s="225" t="s">
        <v>454</v>
      </c>
      <c r="Q16" s="225"/>
      <c r="R16" s="225"/>
      <c r="S16" s="225"/>
      <c r="T16" s="225"/>
      <c r="U16" s="225"/>
      <c r="V16" s="225"/>
      <c r="W16" s="225"/>
      <c r="X16" s="225"/>
      <c r="Y16" s="225"/>
      <c r="Z16" s="225"/>
      <c r="AA16" s="225"/>
      <c r="AB16" s="225"/>
      <c r="AC16" s="225"/>
      <c r="AD16" s="225"/>
      <c r="AE16" s="226"/>
      <c r="AF16" s="224" t="s">
        <v>455</v>
      </c>
      <c r="AG16" s="225"/>
      <c r="AH16" s="225"/>
      <c r="AI16" s="225"/>
      <c r="AJ16" s="225"/>
      <c r="AK16" s="225"/>
      <c r="AL16" s="225"/>
      <c r="AM16" s="225"/>
      <c r="AN16" s="225"/>
      <c r="AO16" s="225"/>
      <c r="AP16" s="225"/>
      <c r="AQ16" s="225"/>
      <c r="AR16" s="226"/>
      <c r="AS16" s="224" t="s">
        <v>225</v>
      </c>
      <c r="AT16" s="225"/>
      <c r="AU16" s="225"/>
      <c r="AV16" s="225"/>
      <c r="AW16" s="225"/>
      <c r="AX16" s="225"/>
      <c r="AY16" s="225"/>
      <c r="AZ16" s="225"/>
      <c r="BA16" s="225"/>
      <c r="BB16" s="225"/>
      <c r="BC16" s="225"/>
      <c r="BD16" s="225"/>
      <c r="BE16" s="226"/>
      <c r="BF16" s="224" t="s">
        <v>484</v>
      </c>
      <c r="BG16" s="225"/>
      <c r="BH16" s="226"/>
      <c r="BI16" s="224" t="s">
        <v>485</v>
      </c>
      <c r="BJ16" s="225"/>
      <c r="BK16" s="226"/>
      <c r="BL16" s="224" t="s">
        <v>486</v>
      </c>
      <c r="BM16" s="226"/>
    </row>
    <row r="17" spans="1:65" x14ac:dyDescent="0.25">
      <c r="A17" t="s">
        <v>382</v>
      </c>
      <c r="B17">
        <f>IOUT</f>
        <v>6</v>
      </c>
      <c r="C17" t="s">
        <v>11</v>
      </c>
      <c r="E17" t="s">
        <v>477</v>
      </c>
      <c r="O17" s="36"/>
      <c r="Q17" s="227" t="s">
        <v>217</v>
      </c>
      <c r="R17" s="227"/>
      <c r="S17" s="227"/>
      <c r="T17" s="223" t="s">
        <v>219</v>
      </c>
      <c r="U17" s="223"/>
      <c r="V17" s="223"/>
      <c r="W17" s="223" t="s">
        <v>258</v>
      </c>
      <c r="X17" s="223"/>
      <c r="Y17" s="223"/>
      <c r="Z17" s="223" t="s">
        <v>222</v>
      </c>
      <c r="AA17" s="223"/>
      <c r="AB17" s="223"/>
      <c r="AC17" s="231" t="s">
        <v>224</v>
      </c>
      <c r="AD17" s="223"/>
      <c r="AE17" s="232"/>
      <c r="AF17" s="153"/>
      <c r="AG17" s="227" t="s">
        <v>217</v>
      </c>
      <c r="AH17" s="227"/>
      <c r="AI17" s="227"/>
      <c r="AJ17" s="228" t="s">
        <v>219</v>
      </c>
      <c r="AK17" s="228"/>
      <c r="AL17" s="228"/>
      <c r="AM17" s="223" t="s">
        <v>258</v>
      </c>
      <c r="AN17" s="223"/>
      <c r="AO17" s="223"/>
      <c r="AP17" s="229" t="s">
        <v>224</v>
      </c>
      <c r="AQ17" s="228"/>
      <c r="AR17" s="230"/>
      <c r="AT17" s="223" t="s">
        <v>231</v>
      </c>
      <c r="AU17" s="223"/>
      <c r="AV17" s="223"/>
      <c r="AW17" s="223" t="s">
        <v>232</v>
      </c>
      <c r="AX17" s="223"/>
      <c r="AY17" s="223"/>
      <c r="AZ17" s="223" t="s">
        <v>226</v>
      </c>
      <c r="BA17" s="223"/>
      <c r="BB17" s="223"/>
      <c r="BC17" s="231" t="s">
        <v>224</v>
      </c>
      <c r="BD17" s="223"/>
      <c r="BE17" s="232"/>
      <c r="BF17" s="231" t="s">
        <v>224</v>
      </c>
      <c r="BG17" s="223"/>
      <c r="BH17" s="232"/>
      <c r="BI17" s="231" t="s">
        <v>224</v>
      </c>
      <c r="BJ17" s="223"/>
      <c r="BK17" s="232"/>
      <c r="BM17" s="43"/>
    </row>
    <row r="18" spans="1:65" ht="15.75" thickBot="1" x14ac:dyDescent="0.3">
      <c r="N18" s="9"/>
      <c r="O18" s="37" t="s">
        <v>195</v>
      </c>
      <c r="P18" s="38" t="s">
        <v>200</v>
      </c>
      <c r="Q18" s="39" t="s">
        <v>223</v>
      </c>
      <c r="R18" s="38" t="s">
        <v>220</v>
      </c>
      <c r="S18" s="38" t="s">
        <v>221</v>
      </c>
      <c r="T18" s="38" t="s">
        <v>223</v>
      </c>
      <c r="U18" s="38" t="s">
        <v>220</v>
      </c>
      <c r="V18" s="38" t="s">
        <v>221</v>
      </c>
      <c r="W18" s="38" t="s">
        <v>223</v>
      </c>
      <c r="X18" s="38" t="s">
        <v>220</v>
      </c>
      <c r="Y18" s="38" t="s">
        <v>221</v>
      </c>
      <c r="Z18" s="38" t="s">
        <v>223</v>
      </c>
      <c r="AA18" s="38" t="s">
        <v>220</v>
      </c>
      <c r="AB18" s="38" t="s">
        <v>221</v>
      </c>
      <c r="AC18" s="42" t="s">
        <v>235</v>
      </c>
      <c r="AD18" s="38" t="s">
        <v>220</v>
      </c>
      <c r="AE18" s="40" t="s">
        <v>221</v>
      </c>
      <c r="AF18" s="156" t="s">
        <v>200</v>
      </c>
      <c r="AG18" s="156" t="s">
        <v>223</v>
      </c>
      <c r="AH18" s="156" t="s">
        <v>234</v>
      </c>
      <c r="AI18" s="156" t="s">
        <v>221</v>
      </c>
      <c r="AJ18" s="156" t="s">
        <v>223</v>
      </c>
      <c r="AK18" s="156" t="s">
        <v>234</v>
      </c>
      <c r="AL18" s="156" t="s">
        <v>221</v>
      </c>
      <c r="AM18" s="156" t="s">
        <v>223</v>
      </c>
      <c r="AN18" s="156" t="s">
        <v>234</v>
      </c>
      <c r="AO18" s="156" t="s">
        <v>221</v>
      </c>
      <c r="AP18" s="42" t="s">
        <v>235</v>
      </c>
      <c r="AQ18" s="38" t="s">
        <v>220</v>
      </c>
      <c r="AR18" s="40" t="s">
        <v>221</v>
      </c>
      <c r="AS18" s="38" t="s">
        <v>233</v>
      </c>
      <c r="AT18" s="38" t="s">
        <v>223</v>
      </c>
      <c r="AU18" s="38" t="s">
        <v>234</v>
      </c>
      <c r="AV18" s="38" t="s">
        <v>221</v>
      </c>
      <c r="AW18" s="38" t="s">
        <v>223</v>
      </c>
      <c r="AX18" s="38" t="s">
        <v>234</v>
      </c>
      <c r="AY18" s="38" t="s">
        <v>221</v>
      </c>
      <c r="AZ18" s="38" t="s">
        <v>223</v>
      </c>
      <c r="BA18" s="38" t="s">
        <v>234</v>
      </c>
      <c r="BB18" s="38" t="s">
        <v>221</v>
      </c>
      <c r="BC18" s="42" t="s">
        <v>235</v>
      </c>
      <c r="BD18" s="38" t="s">
        <v>220</v>
      </c>
      <c r="BE18" s="40" t="s">
        <v>221</v>
      </c>
      <c r="BF18" s="42" t="s">
        <v>235</v>
      </c>
      <c r="BG18" s="38" t="s">
        <v>220</v>
      </c>
      <c r="BH18" s="40" t="s">
        <v>221</v>
      </c>
      <c r="BI18" s="42" t="s">
        <v>235</v>
      </c>
      <c r="BJ18" s="38" t="s">
        <v>220</v>
      </c>
      <c r="BK18" s="40" t="s">
        <v>221</v>
      </c>
      <c r="BL18" s="4" t="s">
        <v>487</v>
      </c>
      <c r="BM18" s="60" t="s">
        <v>488</v>
      </c>
    </row>
    <row r="19" spans="1:65" x14ac:dyDescent="0.25">
      <c r="A19" t="s">
        <v>31</v>
      </c>
      <c r="B19" s="29">
        <f>VOUT</f>
        <v>53.5</v>
      </c>
      <c r="C19" t="s">
        <v>10</v>
      </c>
      <c r="E19" t="s">
        <v>173</v>
      </c>
      <c r="N19" s="9">
        <v>1</v>
      </c>
      <c r="O19" s="34">
        <f>10^(1+(N19/100))</f>
        <v>10.232929922807543</v>
      </c>
      <c r="P19" s="33" t="str">
        <f t="shared" ref="P19:P82" si="50">COMPLEX(Adc,0)</f>
        <v>54,631621870174</v>
      </c>
      <c r="Q19" s="4" t="str">
        <f>IMSUM(COMPLEX(1,0),IMDIV(COMPLEX(0,2*PI()*O19),COMPLEX(wp_lf,0)))</f>
        <v>1+0,25625734252383i</v>
      </c>
      <c r="R19" s="4">
        <f>IMABS(Q19)</f>
        <v>1.0323118838787895</v>
      </c>
      <c r="S19" s="4">
        <f>IMARGUMENT(Q19)</f>
        <v>0.25085920078452706</v>
      </c>
      <c r="T19" s="4" t="str">
        <f t="shared" ref="T19:T82" si="51">IMSUM(COMPLEX(1,0),IMDIV(COMPLEX(0,2*PI()*O19),COMPLEX(wz_esr,0)))</f>
        <v>1+0,00321476974701914i</v>
      </c>
      <c r="U19" s="4">
        <f>IMABS(T19)</f>
        <v>1.0000051673589123</v>
      </c>
      <c r="V19" s="4">
        <f>IMARGUMENT(T19)</f>
        <v>3.2147586724797957E-3</v>
      </c>
      <c r="W19" t="str">
        <f t="shared" ref="W19:W82" si="52">IMSUB(COMPLEX(1,0),IMDIV(COMPLEX(0,2*PI()*O19),COMPLEX(wz_rhp,0)))</f>
        <v>1-0,000255853162510696i</v>
      </c>
      <c r="X19" s="4">
        <f>IMABS(W19)</f>
        <v>1.0000000327304199</v>
      </c>
      <c r="Y19" s="4">
        <f>IMARGUMENT(W19)</f>
        <v>-2.558531569279085E-4</v>
      </c>
      <c r="Z19" t="str">
        <f t="shared" ref="Z19:Z82" si="53">IMSUM(COMPLEX(1,0),IMDIV(COMPLEX(0,2*PI()*O19),COMPLEX(Q*(wsl/2),0)),IMDIV(IMPOWER(COMPLEX(0,2*PI()*O19),2),IMPOWER(COMPLEX(wsl/2,0),2)))</f>
        <v>0,999999999581149+0,0000351521551776859i</v>
      </c>
      <c r="AA19" s="4">
        <f>IMABS(Z19)</f>
        <v>1.0000000001989859</v>
      </c>
      <c r="AB19" s="4">
        <f>IMARGUMENT(Z19)</f>
        <v>3.5152155177930542E-5</v>
      </c>
      <c r="AC19" s="47" t="str">
        <f>(IMDIV(IMPRODUCT(P19,T19,W19),IMPRODUCT(Q19,Z19)))</f>
        <v>51,3036080406069-12,9871962673403i</v>
      </c>
      <c r="AD19" s="20">
        <f>20*LOG(IMABS(AC19))</f>
        <v>34.472708502511402</v>
      </c>
      <c r="AE19" s="43">
        <f>(180/PI())*IMARGUMENT(AC19)</f>
        <v>-14.205654729091696</v>
      </c>
      <c r="AF19" t="str">
        <f t="shared" ref="AF19:AF82" si="54">COMPLEX($B$72,0)</f>
        <v>171,265703090588</v>
      </c>
      <c r="AG19" t="str">
        <f t="shared" ref="AG19:AG82" si="55">IMSUM(COMPLEX(1,0),IMDIV(COMPLEX(0,2*PI()*O19),COMPLEX(wp_lf_DCM,0)))</f>
        <v>1+0,253804955287665i</v>
      </c>
      <c r="AH19">
        <f>IMABS(AG19)</f>
        <v>1.0317058472881568</v>
      </c>
      <c r="AI19">
        <f>IMARGUMENT(AG19)</f>
        <v>0.24855657898458683</v>
      </c>
      <c r="AJ19" t="str">
        <f t="shared" ref="AJ19:AJ82" si="56">IMSUM(COMPLEX(1,0),IMDIV(COMPLEX(0,2*PI()*O19),COMPLEX(wz1_dcm,0)))</f>
        <v>1+0,00321476974701914i</v>
      </c>
      <c r="AK19">
        <f>IMABS(AJ19)</f>
        <v>1.0000051673589123</v>
      </c>
      <c r="AL19">
        <f>IMARGUMENT(AJ19)</f>
        <v>3.2147586724797957E-3</v>
      </c>
      <c r="AM19" t="str">
        <f t="shared" ref="AM19:AM82" si="57">IMSUB(COMPLEX(1,0),IMDIV(COMPLEX(0,2*PI()*O19),COMPLEX(wz2_dcm,0)))</f>
        <v>1-0,000080832852552554i</v>
      </c>
      <c r="AN19">
        <f>IMABS(AM19)</f>
        <v>1.0000000032669749</v>
      </c>
      <c r="AO19">
        <f>IMARGUMENT(AM19)</f>
        <v>-8.08328523765014E-5</v>
      </c>
      <c r="AP19" s="41" t="str">
        <f>(IMDIV(IMPRODUCT(AF19,AJ19,AM19),IMPRODUCT(AG19)))</f>
        <v>161,028977385234-40,3332164996054i</v>
      </c>
      <c r="AQ19">
        <f>20*LOG(IMABS(AP19))</f>
        <v>44.402335108064065</v>
      </c>
      <c r="AR19" s="43">
        <f>(180/PI())*IMARGUMENT(AP19)</f>
        <v>-14.061682223227931</v>
      </c>
      <c r="AS19" t="str">
        <f t="shared" ref="AS19:AS82" si="58">COMPLEX(Adc_ea,0)</f>
        <v>-0,0000166666666666667</v>
      </c>
      <c r="AT19" t="str">
        <f t="shared" ref="AT19:AT82" si="59">COMPLEX(0,2*PI()*O19*wp0_ea)</f>
        <v>2,13074938832428E-07i</v>
      </c>
      <c r="AU19">
        <f>IMABS(AT19)</f>
        <v>2.1307493883242799E-7</v>
      </c>
      <c r="AV19">
        <f>IMARGUMENT(AT19)</f>
        <v>1.5707963267948966</v>
      </c>
      <c r="AW19" t="str">
        <f t="shared" ref="AW19:AW82" si="60">IMSUM(COMPLEX(1,0),IMDIV(COMPLEX(0,2*PI()*O19),COMPLEX(wp1_ea,0)))</f>
        <v>1+0,0000717066323776869i</v>
      </c>
      <c r="AX19">
        <f>IMABS(AW19)</f>
        <v>1.0000000025709206</v>
      </c>
      <c r="AY19">
        <f>IMARGUMENT(AW19)</f>
        <v>7.1706632254785535E-5</v>
      </c>
      <c r="AZ19" t="str">
        <f t="shared" ref="AZ19:AZ82" si="61">IMSUM(COMPLEX(1,0),IMDIV(COMPLEX(0,2*PI()*O19),COMPLEX(wz_ea,0)))</f>
        <v>1+0,016973984264261i</v>
      </c>
      <c r="BA19">
        <f>IMABS(AZ19)</f>
        <v>1.0001440476960324</v>
      </c>
      <c r="BB19">
        <f>IMARGUMENT(AZ19)</f>
        <v>1.6972354386389114E-2</v>
      </c>
      <c r="BC19" s="41" t="str">
        <f>IMPRODUCT(AS19,IMDIV(AZ19,IMPRODUCT(AT19,AW19)))</f>
        <v>-1,32209178279347+78,2198364485473i</v>
      </c>
      <c r="BD19">
        <f>20*LOG(IMABS(BC19))</f>
        <v>37.867578613451798</v>
      </c>
      <c r="BE19" s="43">
        <f>(180/PI())*IMARGUMENT(BC19)</f>
        <v>90.968335787349147</v>
      </c>
      <c r="BF19" s="41" t="str">
        <f>IMPRODUCT(AC19,BC19)</f>
        <v>948,028289338399+4030,13009562322i</v>
      </c>
      <c r="BG19" s="20">
        <f>20*LOG(IMABS(BF19))</f>
        <v>72.340287115963193</v>
      </c>
      <c r="BH19" s="43">
        <f>(180/PI())*IMARGUMENT(BF19)</f>
        <v>76.762681058257442</v>
      </c>
      <c r="BI19" s="41" t="str">
        <f>IMPRODUCT(AP19,BC19)</f>
        <v>2941,96251025033+12648,9844886576i</v>
      </c>
      <c r="BJ19" s="20">
        <f>20*LOG(IMABS(BI19))</f>
        <v>82.269913721515863</v>
      </c>
      <c r="BK19" s="43">
        <f>(180/PI())*IMARGUMENT(BI19)</f>
        <v>76.906653564121243</v>
      </c>
      <c r="BL19">
        <f>IF($B$31=0,BJ19,BG19)</f>
        <v>72.340287115963193</v>
      </c>
      <c r="BM19" s="43">
        <f>IF($B$31=0,BK19,BH19)</f>
        <v>76.762681058257442</v>
      </c>
    </row>
    <row r="20" spans="1:65" x14ac:dyDescent="0.25">
      <c r="A20" t="s">
        <v>33</v>
      </c>
      <c r="B20" s="29">
        <f>IOUT</f>
        <v>6</v>
      </c>
      <c r="C20" t="s">
        <v>11</v>
      </c>
      <c r="E20" t="s">
        <v>34</v>
      </c>
      <c r="N20" s="9">
        <v>2</v>
      </c>
      <c r="O20" s="34">
        <f t="shared" ref="O20:O83" si="62">10^(1+(N20/100))</f>
        <v>10.471285480509</v>
      </c>
      <c r="P20" s="33" t="str">
        <f t="shared" si="50"/>
        <v>54,631621870174</v>
      </c>
      <c r="Q20" s="4" t="str">
        <f t="shared" ref="Q20:Q82" si="63">IMSUM(COMPLEX(1,0),IMDIV(COMPLEX(0,2*PI()*O20),COMPLEX(wp_lf,0)))</f>
        <v>1+0,262226342825124i</v>
      </c>
      <c r="R20" s="4">
        <f t="shared" ref="R20:R83" si="64">IMABS(Q20)</f>
        <v>1.033809776927767</v>
      </c>
      <c r="S20" s="4">
        <f t="shared" ref="S20:S83" si="65">IMARGUMENT(Q20)</f>
        <v>0.25645229716475404</v>
      </c>
      <c r="T20" s="4" t="str">
        <f t="shared" si="51"/>
        <v>1+0,00328965135392086i</v>
      </c>
      <c r="U20" s="4">
        <f t="shared" ref="U20:U83" si="66">IMABS(T20)</f>
        <v>1.0000054108883762</v>
      </c>
      <c r="V20" s="4">
        <f t="shared" ref="V20:V83" si="67">IMARGUMENT(T20)</f>
        <v>3.2896394873416241E-3</v>
      </c>
      <c r="W20" t="str">
        <f t="shared" si="52"/>
        <v>1-0,000261812748250064i</v>
      </c>
      <c r="X20" s="4">
        <f t="shared" ref="X20:X83" si="68">IMABS(W20)</f>
        <v>1.0000000342729569</v>
      </c>
      <c r="Y20" s="4">
        <f t="shared" ref="Y20:Y83" si="69">IMARGUMENT(W20)</f>
        <v>-2.6181274226799945E-4</v>
      </c>
      <c r="Z20" t="str">
        <f t="shared" si="53"/>
        <v>0,999999999561409+0,0000359709540568916i</v>
      </c>
      <c r="AA20" s="4">
        <f t="shared" ref="AA20:AA83" si="70">IMABS(Z20)</f>
        <v>1.0000000002083635</v>
      </c>
      <c r="AB20" s="4">
        <f t="shared" ref="AB20:AB83" si="71">IMARGUMENT(Z20)</f>
        <v>3.5970954057153751E-5</v>
      </c>
      <c r="AC20" s="47" t="str">
        <f t="shared" ref="AC20:AC83" si="72">(IMDIV(IMPRODUCT(P20,T20,W20),IMPRODUCT(Q20,Z20)))</f>
        <v>51,1568547282719-13,2512243454355i</v>
      </c>
      <c r="AD20" s="20">
        <f t="shared" ref="AD20:AD83" si="73">20*LOG(IMABS(AC20))</f>
        <v>34.460116468565857</v>
      </c>
      <c r="AE20" s="43">
        <f t="shared" ref="AE20:AE83" si="74">(180/PI())*IMARGUMENT(AC20)</f>
        <v>-14.52221356423818</v>
      </c>
      <c r="AF20" t="str">
        <f t="shared" si="54"/>
        <v>171,265703090588</v>
      </c>
      <c r="AG20" t="str">
        <f t="shared" si="55"/>
        <v>1+0,259716832151998i</v>
      </c>
      <c r="AH20">
        <f t="shared" ref="AH20:AH83" si="75">IMABS(AG20)</f>
        <v>1.0331760899784068</v>
      </c>
      <c r="AI20">
        <f t="shared" ref="AI20:AI83" si="76">IMARGUMENT(AG20)</f>
        <v>0.25410280249249639</v>
      </c>
      <c r="AJ20" t="str">
        <f t="shared" si="56"/>
        <v>1+0,00328965135392086i</v>
      </c>
      <c r="AK20">
        <f t="shared" ref="AK20:AK83" si="77">IMABS(AJ20)</f>
        <v>1.0000054108883762</v>
      </c>
      <c r="AL20">
        <f t="shared" ref="AL20:AL83" si="78">IMARGUMENT(AJ20)</f>
        <v>3.2896394873416241E-3</v>
      </c>
      <c r="AM20" t="str">
        <f t="shared" si="57"/>
        <v>1-0,000082715691563092i</v>
      </c>
      <c r="AN20">
        <f t="shared" ref="AN20:AN83" si="79">IMABS(AM20)</f>
        <v>1.0000000034209429</v>
      </c>
      <c r="AO20">
        <f t="shared" ref="AO20:AO83" si="80">IMARGUMENT(AM20)</f>
        <v>-8.2715691374448235E-5</v>
      </c>
      <c r="AP20" s="41" t="str">
        <f t="shared" ref="AP20:AP83" si="81">(IMDIV(IMPRODUCT(AF20,AJ20,AM20),IMPRODUCT(AG20)))</f>
        <v>160,577021097876-41,1553171449649i</v>
      </c>
      <c r="AQ20">
        <f t="shared" ref="AQ20:AQ83" si="82">20*LOG(IMABS(AP20))</f>
        <v>44.389968122411567</v>
      </c>
      <c r="AR20" s="43">
        <f t="shared" ref="AR20:AR83" si="83">(180/PI())*IMARGUMENT(AP20)</f>
        <v>-14.375274946537377</v>
      </c>
      <c r="AS20" t="str">
        <f t="shared" si="58"/>
        <v>-0,0000166666666666667</v>
      </c>
      <c r="AT20" t="str">
        <f t="shared" si="59"/>
        <v>2,18038091737874E-07i</v>
      </c>
      <c r="AU20">
        <f t="shared" ref="AU20:AU83" si="84">IMABS(AT20)</f>
        <v>2.1803809173787401E-7</v>
      </c>
      <c r="AV20">
        <f t="shared" ref="AV20:AV83" si="85">IMARGUMENT(AT20)</f>
        <v>1.5707963267948966</v>
      </c>
      <c r="AW20" t="str">
        <f t="shared" si="60"/>
        <v>1+0,0000733768944121393i</v>
      </c>
      <c r="AX20">
        <f t="shared" ref="AX20:AX83" si="86">IMABS(AW20)</f>
        <v>1.0000000026920843</v>
      </c>
      <c r="AY20">
        <f t="shared" ref="AY20:AY83" si="87">IMARGUMENT(AW20)</f>
        <v>7.3376894280448112E-5</v>
      </c>
      <c r="AZ20" t="str">
        <f t="shared" si="61"/>
        <v>1+0,0173693591487021i</v>
      </c>
      <c r="BA20">
        <f t="shared" ref="BA20:BA83" si="88">IMABS(AZ20)</f>
        <v>1.0001508359428775</v>
      </c>
      <c r="BB20">
        <f t="shared" ref="BB20:BB83" si="89">IMARGUMENT(AZ20)</f>
        <v>1.7367612717322123E-2</v>
      </c>
      <c r="BC20" s="41" t="str">
        <f t="shared" ref="BC20:BC83" si="90">IMPRODUCT(AS20,IMDIV(AZ20,IMPRODUCT(AT20,AW20)))</f>
        <v>-1,3220917824731+76,4393399608102i</v>
      </c>
      <c r="BD20">
        <f t="shared" ref="BD20:BD83" si="91">20*LOG(IMABS(BC20))</f>
        <v>37.667637565670148</v>
      </c>
      <c r="BE20" s="43">
        <f t="shared" ref="BE20:BE83" si="92">(180/PI())*IMARGUMENT(BC20)</f>
        <v>90.990886722564241</v>
      </c>
      <c r="BF20" s="41" t="str">
        <f t="shared" ref="BF20:BF83" si="93">IMPRODUCT(AC20,BC20)</f>
        <v>945,28078538429+3927,91554471496i</v>
      </c>
      <c r="BG20" s="20">
        <f t="shared" ref="BG20:BG83" si="94">20*LOG(IMABS(BF20))</f>
        <v>72.127754034236006</v>
      </c>
      <c r="BH20" s="43">
        <f t="shared" ref="BH20:BH83" si="95">(180/PI())*IMARGUMENT(BF20)</f>
        <v>76.468673158326055</v>
      </c>
      <c r="BI20" s="41" t="str">
        <f t="shared" ref="BI20:BI49" si="96">IMPRODUCT(AP20,BC20)</f>
        <v>2933,58771839142+12328,8126121972i</v>
      </c>
      <c r="BJ20" s="20">
        <f t="shared" ref="BJ20:BJ83" si="97">20*LOG(IMABS(BI20))</f>
        <v>82.057605688081736</v>
      </c>
      <c r="BK20" s="43">
        <f t="shared" ref="BK20:BK49" si="98">(180/PI())*IMARGUMENT(BI20)</f>
        <v>76.61561177602691</v>
      </c>
      <c r="BL20">
        <f t="shared" ref="BL20:BL83" si="99">IF($B$31=0,BJ20,BG20)</f>
        <v>72.127754034236006</v>
      </c>
      <c r="BM20" s="43">
        <f t="shared" ref="BM20:BM83" si="100">IF($B$31=0,BK20,BH20)</f>
        <v>76.468673158326055</v>
      </c>
    </row>
    <row r="21" spans="1:65" x14ac:dyDescent="0.25">
      <c r="N21" s="9">
        <v>3</v>
      </c>
      <c r="O21" s="34">
        <f t="shared" si="62"/>
        <v>10.715193052376069</v>
      </c>
      <c r="P21" s="33" t="str">
        <f t="shared" si="50"/>
        <v>54,631621870174</v>
      </c>
      <c r="Q21" s="4" t="str">
        <f t="shared" si="63"/>
        <v>1+0,26833437900436i</v>
      </c>
      <c r="R21" s="4">
        <f t="shared" si="64"/>
        <v>1.0353759408812122</v>
      </c>
      <c r="S21" s="4">
        <f t="shared" si="65"/>
        <v>0.26215873714497312</v>
      </c>
      <c r="T21" s="4" t="str">
        <f t="shared" si="51"/>
        <v>1+0,00336627717751411i</v>
      </c>
      <c r="U21" s="4">
        <f t="shared" si="66"/>
        <v>1.0000056658949668</v>
      </c>
      <c r="V21" s="4">
        <f t="shared" si="67"/>
        <v>3.3662644622492626E-3</v>
      </c>
      <c r="W21" t="str">
        <f t="shared" si="52"/>
        <v>1-0,000267911150574056i</v>
      </c>
      <c r="X21" s="4">
        <f t="shared" si="68"/>
        <v>1.0000000358881918</v>
      </c>
      <c r="Y21" s="4">
        <f t="shared" si="69"/>
        <v>-2.6791114416415833E-4</v>
      </c>
      <c r="Z21" t="str">
        <f t="shared" si="53"/>
        <v>0,999999999540739+0,0000368088252120701i</v>
      </c>
      <c r="AA21" s="4">
        <f t="shared" si="70"/>
        <v>1.0000000002181837</v>
      </c>
      <c r="AB21" s="4">
        <f t="shared" si="71"/>
        <v>3.6808825212350991E-5</v>
      </c>
      <c r="AC21" s="47" t="str">
        <f t="shared" si="72"/>
        <v>51,0040933288567-13,5188938766648i</v>
      </c>
      <c r="AD21" s="20">
        <f t="shared" si="73"/>
        <v>34.44697001801724</v>
      </c>
      <c r="AE21" s="43">
        <f t="shared" si="74"/>
        <v>-14.845175622653377</v>
      </c>
      <c r="AF21" t="str">
        <f t="shared" si="54"/>
        <v>171,265703090588</v>
      </c>
      <c r="AG21" t="str">
        <f t="shared" si="55"/>
        <v>1+0,265766414318496i</v>
      </c>
      <c r="AH21">
        <f t="shared" si="75"/>
        <v>1.0347133839763119</v>
      </c>
      <c r="AI21">
        <f t="shared" si="76"/>
        <v>0.2597617189685888</v>
      </c>
      <c r="AJ21" t="str">
        <f t="shared" si="56"/>
        <v>1+0,00336627717751411i</v>
      </c>
      <c r="AK21">
        <f t="shared" si="77"/>
        <v>1.0000056658949668</v>
      </c>
      <c r="AL21">
        <f t="shared" si="78"/>
        <v>3.3662644622492626E-3</v>
      </c>
      <c r="AM21" t="str">
        <f t="shared" si="57"/>
        <v>1-0,0000846423875281683i</v>
      </c>
      <c r="AN21">
        <f t="shared" si="79"/>
        <v>1.0000000035821668</v>
      </c>
      <c r="AO21">
        <f t="shared" si="80"/>
        <v>-8.4642387326032853E-5</v>
      </c>
      <c r="AP21" s="41" t="str">
        <f t="shared" si="81"/>
        <v>160,106511937752-41,9889020971443i</v>
      </c>
      <c r="AQ21">
        <f t="shared" si="82"/>
        <v>44.377055945958695</v>
      </c>
      <c r="AR21" s="43">
        <f t="shared" si="83"/>
        <v>-14.695227081113433</v>
      </c>
      <c r="AS21" t="str">
        <f t="shared" si="58"/>
        <v>-0,0000166666666666667</v>
      </c>
      <c r="AT21" t="str">
        <f t="shared" si="59"/>
        <v>2,23116851325635E-07i</v>
      </c>
      <c r="AU21">
        <f t="shared" si="84"/>
        <v>2.23116851325635E-7</v>
      </c>
      <c r="AV21">
        <f t="shared" si="85"/>
        <v>1.5707963267948966</v>
      </c>
      <c r="AW21" t="str">
        <f t="shared" si="60"/>
        <v>1+0,0000750860618472669i</v>
      </c>
      <c r="AX21">
        <f t="shared" si="86"/>
        <v>1.0000000028189582</v>
      </c>
      <c r="AY21">
        <f t="shared" si="87"/>
        <v>7.5086061706157239E-5</v>
      </c>
      <c r="AZ21" t="str">
        <f t="shared" si="61"/>
        <v>1+0,0177739434972745i</v>
      </c>
      <c r="BA21">
        <f t="shared" si="88"/>
        <v>1.000157944060559</v>
      </c>
      <c r="BB21">
        <f t="shared" si="89"/>
        <v>1.7772072178295899E-2</v>
      </c>
      <c r="BC21" s="41" t="str">
        <f t="shared" si="90"/>
        <v>-1,32209178213762+74,6993726229143i</v>
      </c>
      <c r="BD21">
        <f t="shared" si="91"/>
        <v>37.467699295363211</v>
      </c>
      <c r="BE21" s="43">
        <f t="shared" si="92"/>
        <v>91.013962614582198</v>
      </c>
      <c r="BF21" s="41" t="str">
        <f t="shared" si="93"/>
        <v>942,420798497157+3827,84699136409i</v>
      </c>
      <c r="BG21" s="20">
        <f t="shared" si="94"/>
        <v>71.914669313380443</v>
      </c>
      <c r="BH21" s="43">
        <f t="shared" si="95"/>
        <v>76.168786991928812</v>
      </c>
      <c r="BI21" s="41" t="str">
        <f t="shared" si="96"/>
        <v>2924,86914008203+12015,3691769968i</v>
      </c>
      <c r="BJ21" s="20">
        <f t="shared" si="97"/>
        <v>81.844755241321892</v>
      </c>
      <c r="BK21" s="43">
        <f t="shared" si="98"/>
        <v>76.31873553346874</v>
      </c>
      <c r="BL21">
        <f t="shared" si="99"/>
        <v>71.914669313380443</v>
      </c>
      <c r="BM21" s="43">
        <f t="shared" si="100"/>
        <v>76.168786991928812</v>
      </c>
    </row>
    <row r="22" spans="1:65" x14ac:dyDescent="0.25">
      <c r="A22" t="s">
        <v>174</v>
      </c>
      <c r="N22" s="9">
        <v>4</v>
      </c>
      <c r="O22" s="34">
        <f t="shared" si="62"/>
        <v>10.964781961431854</v>
      </c>
      <c r="P22" s="33" t="str">
        <f t="shared" si="50"/>
        <v>54,631621870174</v>
      </c>
      <c r="Q22" s="4" t="str">
        <f t="shared" si="63"/>
        <v>1+0,27458468962317i</v>
      </c>
      <c r="R22" s="4">
        <f t="shared" si="64"/>
        <v>1.0370133807118656</v>
      </c>
      <c r="S22" s="4">
        <f t="shared" si="65"/>
        <v>0.2679800591720653</v>
      </c>
      <c r="T22" s="4" t="str">
        <f t="shared" si="51"/>
        <v>1+0,00344468784582482i</v>
      </c>
      <c r="U22" s="4">
        <f t="shared" si="66"/>
        <v>1.0000059329195778</v>
      </c>
      <c r="V22" s="4">
        <f t="shared" si="67"/>
        <v>3.4446742211774305E-3</v>
      </c>
      <c r="W22" t="str">
        <f t="shared" si="52"/>
        <v>1-0,000274151602936305i</v>
      </c>
      <c r="X22" s="4">
        <f t="shared" si="68"/>
        <v>1.0000000375795499</v>
      </c>
      <c r="Y22" s="4">
        <f t="shared" si="69"/>
        <v>-2.7415159606797594E-4</v>
      </c>
      <c r="Z22" t="str">
        <f t="shared" si="53"/>
        <v>0,999999999519094+0,0000376662128935985i</v>
      </c>
      <c r="AA22" s="4">
        <f t="shared" si="70"/>
        <v>1.0000000002284657</v>
      </c>
      <c r="AB22" s="4">
        <f t="shared" si="71"/>
        <v>3.7666212893899505E-5</v>
      </c>
      <c r="AC22" s="47" t="str">
        <f t="shared" si="72"/>
        <v>50,8451193009836-13,7901375333713i</v>
      </c>
      <c r="AD22" s="20">
        <f t="shared" si="73"/>
        <v>34.433246528845501</v>
      </c>
      <c r="AE22" s="43">
        <f t="shared" si="74"/>
        <v>-15.174626933984918</v>
      </c>
      <c r="AF22" t="str">
        <f t="shared" si="54"/>
        <v>171,265703090588</v>
      </c>
      <c r="AG22" t="str">
        <f t="shared" si="55"/>
        <v>1+0,2719569093557i</v>
      </c>
      <c r="AH22">
        <f t="shared" si="75"/>
        <v>1.0363206842219761</v>
      </c>
      <c r="AI22">
        <f t="shared" si="76"/>
        <v>0.26553487850565499</v>
      </c>
      <c r="AJ22" t="str">
        <f t="shared" si="56"/>
        <v>1+0,00344468784582482i</v>
      </c>
      <c r="AK22">
        <f t="shared" si="77"/>
        <v>1.0000059329195778</v>
      </c>
      <c r="AL22">
        <f t="shared" si="78"/>
        <v>3.4446742211774305E-3</v>
      </c>
      <c r="AM22" t="str">
        <f t="shared" si="57"/>
        <v>1-0,0000866139620074865i</v>
      </c>
      <c r="AN22">
        <f t="shared" si="79"/>
        <v>1.0000000037509891</v>
      </c>
      <c r="AO22">
        <f t="shared" si="80"/>
        <v>-8.6613961790894464E-5</v>
      </c>
      <c r="AP22" s="41" t="str">
        <f t="shared" si="81"/>
        <v>159,616813809369-42,8337724800581i</v>
      </c>
      <c r="AQ22">
        <f t="shared" si="82"/>
        <v>44.363576271877754</v>
      </c>
      <c r="AR22" s="43">
        <f t="shared" si="83"/>
        <v>-15.021625171679657</v>
      </c>
      <c r="AS22" t="str">
        <f t="shared" si="58"/>
        <v>-0,0000166666666666667</v>
      </c>
      <c r="AT22" t="str">
        <f t="shared" si="59"/>
        <v>2,28313910421269E-07i</v>
      </c>
      <c r="AU22">
        <f t="shared" si="84"/>
        <v>2.2831391042126901E-7</v>
      </c>
      <c r="AV22">
        <f t="shared" si="85"/>
        <v>1.5707963267948966</v>
      </c>
      <c r="AW22" t="str">
        <f t="shared" si="60"/>
        <v>1+0,0000768350409062675i</v>
      </c>
      <c r="AX22">
        <f t="shared" si="86"/>
        <v>1.0000000029518117</v>
      </c>
      <c r="AY22">
        <f t="shared" si="87"/>
        <v>7.6835040755065777E-5</v>
      </c>
      <c r="AZ22" t="str">
        <f t="shared" si="61"/>
        <v>1+0,018187951825955i</v>
      </c>
      <c r="BA22">
        <f t="shared" si="88"/>
        <v>1.0001653871193621</v>
      </c>
      <c r="BB22">
        <f t="shared" si="89"/>
        <v>1.8185946689450568E-2</v>
      </c>
      <c r="BC22" s="41" t="str">
        <f t="shared" si="90"/>
        <v>-1,32209178178633+72,9990118811465i</v>
      </c>
      <c r="BD22">
        <f t="shared" si="91"/>
        <v>37.267763933346679</v>
      </c>
      <c r="BE22" s="43">
        <f t="shared" si="92"/>
        <v>91.037575668201455</v>
      </c>
      <c r="BF22" s="41" t="str">
        <f t="shared" si="93"/>
        <v>939,44449926944+3729,87529545339i</v>
      </c>
      <c r="BG22" s="20">
        <f t="shared" si="94"/>
        <v>71.701010462192187</v>
      </c>
      <c r="BH22" s="43">
        <f t="shared" si="95"/>
        <v>75.862948734216545</v>
      </c>
      <c r="BI22" s="41" t="str">
        <f t="shared" si="96"/>
        <v>2915,7949884138+11708,4998662797i</v>
      </c>
      <c r="BJ22" s="20">
        <f t="shared" si="97"/>
        <v>81.631340205224475</v>
      </c>
      <c r="BK22" s="43">
        <f t="shared" si="98"/>
        <v>76.015950496521839</v>
      </c>
      <c r="BL22">
        <f t="shared" si="99"/>
        <v>71.701010462192187</v>
      </c>
      <c r="BM22" s="43">
        <f t="shared" si="100"/>
        <v>75.862948734216545</v>
      </c>
    </row>
    <row r="23" spans="1:65" x14ac:dyDescent="0.25">
      <c r="A23" t="s">
        <v>175</v>
      </c>
      <c r="B23" s="29">
        <f>Lm</f>
        <v>1.5E-6</v>
      </c>
      <c r="C23" t="s">
        <v>87</v>
      </c>
      <c r="E23" t="s">
        <v>176</v>
      </c>
      <c r="N23" s="9">
        <v>5</v>
      </c>
      <c r="O23" s="34">
        <f t="shared" si="62"/>
        <v>11.220184543019636</v>
      </c>
      <c r="P23" s="33" t="str">
        <f t="shared" si="50"/>
        <v>54,631621870174</v>
      </c>
      <c r="Q23" s="4" t="str">
        <f t="shared" si="63"/>
        <v>1+0,280980588678976i</v>
      </c>
      <c r="R23" s="4">
        <f t="shared" si="64"/>
        <v>1.0387252241157832</v>
      </c>
      <c r="S23" s="4">
        <f t="shared" si="65"/>
        <v>0.27391777097504955</v>
      </c>
      <c r="T23" s="4" t="str">
        <f t="shared" si="51"/>
        <v>1+0,00352492493322723i</v>
      </c>
      <c r="U23" s="4">
        <f t="shared" si="66"/>
        <v>1.0000062125285947</v>
      </c>
      <c r="V23" s="4">
        <f t="shared" si="67"/>
        <v>3.5249103341594232E-3</v>
      </c>
      <c r="W23" t="str">
        <f t="shared" si="52"/>
        <v>1-0,000280537414107257i</v>
      </c>
      <c r="X23" s="4">
        <f t="shared" si="68"/>
        <v>1.0000000393506197</v>
      </c>
      <c r="Y23" s="4">
        <f t="shared" si="69"/>
        <v>-2.8053740674770981E-4</v>
      </c>
      <c r="Z23" t="str">
        <f t="shared" si="53"/>
        <v>0,99999999949643+0,0000385435716997743i</v>
      </c>
      <c r="AA23" s="4">
        <f t="shared" si="70"/>
        <v>1.0000000002392333</v>
      </c>
      <c r="AB23" s="4">
        <f t="shared" si="71"/>
        <v>3.8543571700096823E-5</v>
      </c>
      <c r="AC23" s="47" t="str">
        <f t="shared" si="72"/>
        <v>50,6797248404255-14,0648784676963i</v>
      </c>
      <c r="AD23" s="20">
        <f t="shared" si="73"/>
        <v>34.418922615668379</v>
      </c>
      <c r="AE23" s="43">
        <f t="shared" si="74"/>
        <v>-15.51065171857994</v>
      </c>
      <c r="AF23" t="str">
        <f t="shared" si="54"/>
        <v>171,265703090588</v>
      </c>
      <c r="AG23" t="str">
        <f t="shared" si="55"/>
        <v>1+0,278291599546021i</v>
      </c>
      <c r="AH23">
        <f t="shared" si="75"/>
        <v>1.0380010666554649</v>
      </c>
      <c r="AI23">
        <f t="shared" si="76"/>
        <v>0.27142380215546008</v>
      </c>
      <c r="AJ23" t="str">
        <f t="shared" si="56"/>
        <v>1+0,00352492493322723i</v>
      </c>
      <c r="AK23">
        <f t="shared" si="77"/>
        <v>1.0000062125285947</v>
      </c>
      <c r="AL23">
        <f t="shared" si="78"/>
        <v>3.5249103341594232E-3</v>
      </c>
      <c r="AM23" t="str">
        <f t="shared" si="57"/>
        <v>1-0,0000886314603559324i</v>
      </c>
      <c r="AN23">
        <f t="shared" si="79"/>
        <v>1.0000000039277679</v>
      </c>
      <c r="AO23">
        <f t="shared" si="80"/>
        <v>-8.8631460123849868E-5</v>
      </c>
      <c r="AP23" s="41" t="str">
        <f t="shared" si="81"/>
        <v>159,107280033202-43,6897002421996i</v>
      </c>
      <c r="AQ23">
        <f t="shared" si="82"/>
        <v>44.349506035114942</v>
      </c>
      <c r="AR23" s="43">
        <f t="shared" si="83"/>
        <v>-15.354554046189527</v>
      </c>
      <c r="AS23" t="str">
        <f t="shared" si="58"/>
        <v>-0,0000166666666666667</v>
      </c>
      <c r="AT23" t="str">
        <f t="shared" si="59"/>
        <v>0,0000002336320245743i</v>
      </c>
      <c r="AU23">
        <f t="shared" si="84"/>
        <v>2.336320245743E-7</v>
      </c>
      <c r="AV23">
        <f t="shared" si="85"/>
        <v>1.5707963267948966</v>
      </c>
      <c r="AW23" t="str">
        <f t="shared" si="60"/>
        <v>1+0,0000786247589209886i</v>
      </c>
      <c r="AX23">
        <f t="shared" si="86"/>
        <v>1.0000000030909264</v>
      </c>
      <c r="AY23">
        <f t="shared" si="87"/>
        <v>7.8624758758973049E-5</v>
      </c>
      <c r="AZ23" t="str">
        <f t="shared" si="61"/>
        <v>1+0,0186116036474397i</v>
      </c>
      <c r="BA23">
        <f t="shared" si="88"/>
        <v>1.0001731808993528</v>
      </c>
      <c r="BB23">
        <f t="shared" si="89"/>
        <v>1.8609455125057555E-2</v>
      </c>
      <c r="BC23" s="41" t="str">
        <f t="shared" si="90"/>
        <v>-1,32209178141848+71,3373561817341i</v>
      </c>
      <c r="BD23">
        <f t="shared" si="91"/>
        <v>37.067831616593317</v>
      </c>
      <c r="BE23" s="43">
        <f t="shared" si="92"/>
        <v>91.061738370861775</v>
      </c>
      <c r="BF23" s="41" t="str">
        <f t="shared" si="93"/>
        <v>936,347997206777+3633,9526423625i</v>
      </c>
      <c r="BG23" s="20">
        <f t="shared" si="94"/>
        <v>71.486754232261688</v>
      </c>
      <c r="BH23" s="43">
        <f t="shared" si="95"/>
        <v>75.551086652281825</v>
      </c>
      <c r="BI23" s="41" t="str">
        <f t="shared" si="96"/>
        <v>2906,35328035524+11408,0545004583i</v>
      </c>
      <c r="BJ23" s="20">
        <f t="shared" si="97"/>
        <v>81.417337651708266</v>
      </c>
      <c r="BK23" s="43">
        <f t="shared" si="98"/>
        <v>75.707184324672284</v>
      </c>
      <c r="BL23">
        <f t="shared" si="99"/>
        <v>71.486754232261688</v>
      </c>
      <c r="BM23" s="43">
        <f t="shared" si="100"/>
        <v>75.551086652281825</v>
      </c>
    </row>
    <row r="24" spans="1:65" x14ac:dyDescent="0.25">
      <c r="N24" s="9">
        <v>6</v>
      </c>
      <c r="O24" s="34">
        <f t="shared" si="62"/>
        <v>11.481536214968834</v>
      </c>
      <c r="P24" s="33" t="str">
        <f t="shared" si="50"/>
        <v>54,631621870174</v>
      </c>
      <c r="Q24" s="4" t="str">
        <f t="shared" si="63"/>
        <v>1+0,287525467362117i</v>
      </c>
      <c r="R24" s="4">
        <f t="shared" si="64"/>
        <v>1.0405147256919547</v>
      </c>
      <c r="S24" s="4">
        <f t="shared" si="65"/>
        <v>0.27997334540086399</v>
      </c>
      <c r="T24" s="4" t="str">
        <f t="shared" si="51"/>
        <v>1+0,00360703098248713i</v>
      </c>
      <c r="U24" s="4">
        <f t="shared" si="66"/>
        <v>1.0000065053150948</v>
      </c>
      <c r="V24" s="4">
        <f t="shared" si="67"/>
        <v>3.6070153393096328E-3</v>
      </c>
      <c r="W24" t="str">
        <f t="shared" si="52"/>
        <v>1-0,00028707196992852i</v>
      </c>
      <c r="X24" s="4">
        <f t="shared" si="68"/>
        <v>1.0000000412051571</v>
      </c>
      <c r="Y24" s="4">
        <f t="shared" si="69"/>
        <v>-2.8707196204262315E-4</v>
      </c>
      <c r="Z24" t="str">
        <f t="shared" si="53"/>
        <v>0,999999999472697+0,0000394413668178499i</v>
      </c>
      <c r="AA24" s="4">
        <f t="shared" si="70"/>
        <v>1.0000000002505076</v>
      </c>
      <c r="AB24" s="4">
        <f t="shared" si="71"/>
        <v>3.9441366818195513E-5</v>
      </c>
      <c r="AC24" s="47" t="str">
        <f t="shared" si="72"/>
        <v>50,5076991860402-14,3430298167075i</v>
      </c>
      <c r="AD24" s="20">
        <f t="shared" si="73"/>
        <v>34.403974118223573</v>
      </c>
      <c r="AE24" s="43">
        <f t="shared" si="74"/>
        <v>-15.853332147745041</v>
      </c>
      <c r="AF24" t="str">
        <f t="shared" si="54"/>
        <v>171,265703090588</v>
      </c>
      <c r="AG24" t="str">
        <f t="shared" si="55"/>
        <v>1+0,284773843626045i</v>
      </c>
      <c r="AH24">
        <f t="shared" si="75"/>
        <v>1.039757732365358</v>
      </c>
      <c r="AI24">
        <f t="shared" si="76"/>
        <v>0.27742997785242191</v>
      </c>
      <c r="AJ24" t="str">
        <f t="shared" si="56"/>
        <v>1+0,00360703098248713i</v>
      </c>
      <c r="AK24">
        <f t="shared" si="77"/>
        <v>1.0000065053150948</v>
      </c>
      <c r="AL24">
        <f t="shared" si="78"/>
        <v>3.6070153393096328E-3</v>
      </c>
      <c r="AM24" t="str">
        <f t="shared" si="57"/>
        <v>1-0,0000906959522778352i</v>
      </c>
      <c r="AN24">
        <f t="shared" si="79"/>
        <v>1.0000000041128778</v>
      </c>
      <c r="AO24">
        <f t="shared" si="80"/>
        <v>-9.069595202915428E-5</v>
      </c>
      <c r="AP24" s="41" t="str">
        <f t="shared" si="81"/>
        <v>158,577254253796-44,5564266142673i</v>
      </c>
      <c r="AQ24">
        <f t="shared" si="82"/>
        <v>44.334821400411002</v>
      </c>
      <c r="AR24" s="43">
        <f t="shared" si="83"/>
        <v>-15.694096581040505</v>
      </c>
      <c r="AS24" t="str">
        <f t="shared" si="58"/>
        <v>-0,0000166666666666667</v>
      </c>
      <c r="AT24" t="str">
        <f t="shared" si="59"/>
        <v>2,39074013519247E-07i</v>
      </c>
      <c r="AU24">
        <f t="shared" si="84"/>
        <v>2.3907401351924701E-7</v>
      </c>
      <c r="AV24">
        <f t="shared" si="85"/>
        <v>1.5707963267948966</v>
      </c>
      <c r="AW24" t="str">
        <f t="shared" si="60"/>
        <v>1+0,0000804561648236114i</v>
      </c>
      <c r="AX24">
        <f t="shared" si="86"/>
        <v>1.0000000032365972</v>
      </c>
      <c r="AY24">
        <f t="shared" si="87"/>
        <v>8.0456164650008597E-5</v>
      </c>
      <c r="AZ24" t="str">
        <f t="shared" si="61"/>
        <v>1+0,019045123587532i</v>
      </c>
      <c r="BA24">
        <f t="shared" si="88"/>
        <v>1.0001813419237855</v>
      </c>
      <c r="BB24">
        <f t="shared" si="89"/>
        <v>1.9042821426864868E-2</v>
      </c>
      <c r="BC24" s="41" t="str">
        <f t="shared" si="90"/>
        <v>-1,3220917810333+69,7135244928306i</v>
      </c>
      <c r="BD24">
        <f t="shared" si="91"/>
        <v>36.867902488522482</v>
      </c>
      <c r="BE24" s="43">
        <f t="shared" si="92"/>
        <v>91.086463499110394</v>
      </c>
      <c r="BF24" s="41" t="str">
        <f t="shared" si="93"/>
        <v>933,127346455672+3540,03252611832i</v>
      </c>
      <c r="BG24" s="20">
        <f t="shared" si="94"/>
        <v>71.271876606746062</v>
      </c>
      <c r="BH24" s="43">
        <f t="shared" si="95"/>
        <v>75.233131351365358</v>
      </c>
      <c r="BI24" s="41" t="str">
        <f t="shared" si="96"/>
        <v>2896,53185357896+11113,8869838468i</v>
      </c>
      <c r="BJ24" s="20">
        <f t="shared" si="97"/>
        <v>81.202723888933519</v>
      </c>
      <c r="BK24" s="43">
        <f t="shared" si="98"/>
        <v>75.392366918069925</v>
      </c>
      <c r="BL24">
        <f t="shared" si="99"/>
        <v>71.271876606746062</v>
      </c>
      <c r="BM24" s="43">
        <f t="shared" si="100"/>
        <v>75.233131351365358</v>
      </c>
    </row>
    <row r="25" spans="1:65" x14ac:dyDescent="0.25">
      <c r="A25" t="s">
        <v>137</v>
      </c>
      <c r="B25" s="29">
        <f>R_cs</f>
        <v>1.5E-3</v>
      </c>
      <c r="C25" s="2" t="s">
        <v>36</v>
      </c>
      <c r="E25" t="s">
        <v>177</v>
      </c>
      <c r="N25" s="9">
        <v>7</v>
      </c>
      <c r="O25" s="34">
        <f t="shared" si="62"/>
        <v>11.748975549395301</v>
      </c>
      <c r="P25" s="33" t="str">
        <f t="shared" si="50"/>
        <v>54,631621870174</v>
      </c>
      <c r="Q25" s="4" t="str">
        <f t="shared" si="63"/>
        <v>1+0,294222795853903i</v>
      </c>
      <c r="R25" s="4">
        <f t="shared" si="64"/>
        <v>1.042385271192992</v>
      </c>
      <c r="S25" s="4">
        <f t="shared" si="65"/>
        <v>0.28614821603817275</v>
      </c>
      <c r="T25" s="4" t="str">
        <f t="shared" si="51"/>
        <v>1+0,00369104952731864i</v>
      </c>
      <c r="U25" s="4">
        <f t="shared" si="66"/>
        <v>1.0000068119001055</v>
      </c>
      <c r="V25" s="4">
        <f t="shared" si="67"/>
        <v>3.6910327653581236E-3</v>
      </c>
      <c r="W25" t="str">
        <f t="shared" si="52"/>
        <v>1-0,000293758735108086i</v>
      </c>
      <c r="X25" s="4">
        <f t="shared" si="68"/>
        <v>1.0000000431470963</v>
      </c>
      <c r="Y25" s="4">
        <f t="shared" si="69"/>
        <v>-2.9375872665819529E-4</v>
      </c>
      <c r="Z25" t="str">
        <f t="shared" si="53"/>
        <v>0,999999999447846+0,0000403600742706804i</v>
      </c>
      <c r="AA25" s="4">
        <f t="shared" si="70"/>
        <v>1.0000000002623137</v>
      </c>
      <c r="AB25" s="4">
        <f t="shared" si="71"/>
        <v>4.0360074271050722E-5</v>
      </c>
      <c r="AC25" s="47" t="str">
        <f t="shared" si="72"/>
        <v>50,3288289655897-14,6244942032713i</v>
      </c>
      <c r="AD25" s="20">
        <f t="shared" si="73"/>
        <v>34.38837609105731</v>
      </c>
      <c r="AE25" s="43">
        <f t="shared" si="74"/>
        <v>-16.2027480918347</v>
      </c>
      <c r="AF25" t="str">
        <f t="shared" si="54"/>
        <v>171,265703090588</v>
      </c>
      <c r="AG25" t="str">
        <f t="shared" si="55"/>
        <v>1+0,291407078567387i</v>
      </c>
      <c r="AH25">
        <f t="shared" si="75"/>
        <v>1.0415940118103499</v>
      </c>
      <c r="AI25">
        <f t="shared" si="76"/>
        <v>0.28355485612616693</v>
      </c>
      <c r="AJ25" t="str">
        <f t="shared" si="56"/>
        <v>1+0,00369104952731864i</v>
      </c>
      <c r="AK25">
        <f t="shared" si="77"/>
        <v>1.0000068119001055</v>
      </c>
      <c r="AL25">
        <f t="shared" si="78"/>
        <v>3.6910327653581236E-3</v>
      </c>
      <c r="AM25" t="str">
        <f t="shared" si="57"/>
        <v>1-0,0000928085323941384i</v>
      </c>
      <c r="AN25">
        <f t="shared" si="79"/>
        <v>1.0000000043067119</v>
      </c>
      <c r="AO25">
        <f t="shared" si="80"/>
        <v>-9.2808532127672001E-5</v>
      </c>
      <c r="AP25" s="41" t="str">
        <f t="shared" si="81"/>
        <v>158,026071469841-45,4336605506223i</v>
      </c>
      <c r="AQ25">
        <f t="shared" si="82"/>
        <v>44.319497751468795</v>
      </c>
      <c r="AR25" s="43">
        <f t="shared" si="83"/>
        <v>-16.040333454162823</v>
      </c>
      <c r="AS25" t="str">
        <f t="shared" si="58"/>
        <v>-0,0000166666666666667</v>
      </c>
      <c r="AT25" t="str">
        <f t="shared" si="59"/>
        <v>2,44642762670679E-07i</v>
      </c>
      <c r="AU25">
        <f t="shared" si="84"/>
        <v>2.4464276267067901E-7</v>
      </c>
      <c r="AV25">
        <f t="shared" si="85"/>
        <v>1.5707963267948966</v>
      </c>
      <c r="AW25" t="str">
        <f t="shared" si="60"/>
        <v>1+0,0000823302296497869i</v>
      </c>
      <c r="AX25">
        <f t="shared" si="86"/>
        <v>1.0000000033891332</v>
      </c>
      <c r="AY25">
        <f t="shared" si="87"/>
        <v>8.2330229463768156E-5</v>
      </c>
      <c r="AZ25" t="str">
        <f t="shared" si="61"/>
        <v>1+0,0194887415042424i</v>
      </c>
      <c r="BA25">
        <f t="shared" si="88"/>
        <v>1.0001898874940793</v>
      </c>
      <c r="BB25">
        <f t="shared" si="89"/>
        <v>1.9486274719936952E-2</v>
      </c>
      <c r="BC25" s="41" t="str">
        <f t="shared" si="90"/>
        <v>-1,32209178062997+68,1266558373812i</v>
      </c>
      <c r="BD25">
        <f t="shared" si="91"/>
        <v>36.66797669930321</v>
      </c>
      <c r="BE25" s="43">
        <f t="shared" si="92"/>
        <v>91.111764125210229</v>
      </c>
      <c r="BF25" s="41" t="str">
        <f t="shared" si="93"/>
        <v>929,778552277902+3448,06973321917i</v>
      </c>
      <c r="BG25" s="20">
        <f t="shared" si="94"/>
        <v>71.056352790360535</v>
      </c>
      <c r="BH25" s="43">
        <f t="shared" si="95"/>
        <v>74.909016033375551</v>
      </c>
      <c r="BI25" s="41" t="str">
        <f t="shared" si="96"/>
        <v>2886,31838554913+10825,8552535372i</v>
      </c>
      <c r="BJ25" s="20">
        <f t="shared" si="97"/>
        <v>80.987474450772027</v>
      </c>
      <c r="BK25" s="43">
        <f t="shared" si="98"/>
        <v>75.071430671047437</v>
      </c>
      <c r="BL25">
        <f t="shared" si="99"/>
        <v>71.056352790360535</v>
      </c>
      <c r="BM25" s="43">
        <f t="shared" si="100"/>
        <v>74.909016033375551</v>
      </c>
    </row>
    <row r="26" spans="1:65" x14ac:dyDescent="0.25">
      <c r="A26" t="s">
        <v>138</v>
      </c>
      <c r="B26" s="29">
        <f>R_sl</f>
        <v>0</v>
      </c>
      <c r="C26" s="2" t="s">
        <v>36</v>
      </c>
      <c r="E26" t="s">
        <v>493</v>
      </c>
      <c r="N26" s="9">
        <v>8</v>
      </c>
      <c r="O26" s="34">
        <f t="shared" si="62"/>
        <v>12.022644346174133</v>
      </c>
      <c r="P26" s="33" t="str">
        <f t="shared" si="50"/>
        <v>54,631621870174</v>
      </c>
      <c r="Q26" s="4" t="str">
        <f t="shared" si="63"/>
        <v>1+0,30107612516655i</v>
      </c>
      <c r="R26" s="4">
        <f t="shared" si="64"/>
        <v>1.0443403818417174</v>
      </c>
      <c r="S26" s="4">
        <f t="shared" si="65"/>
        <v>0.2924437726278809</v>
      </c>
      <c r="T26" s="4" t="str">
        <f t="shared" si="51"/>
        <v>1+0,00377702511546635i</v>
      </c>
      <c r="U26" s="4">
        <f t="shared" si="66"/>
        <v>1.000007132933922</v>
      </c>
      <c r="V26" s="4">
        <f t="shared" si="67"/>
        <v>3.7770071547089819E-3</v>
      </c>
      <c r="W26" t="str">
        <f t="shared" si="52"/>
        <v>1-0,000300601255057363i</v>
      </c>
      <c r="X26" s="4">
        <f t="shared" si="68"/>
        <v>1.0000000451805562</v>
      </c>
      <c r="Y26" s="4">
        <f t="shared" si="69"/>
        <v>-3.0060124600314201E-4</v>
      </c>
      <c r="Z26" t="str">
        <f t="shared" si="53"/>
        <v>0,999999999421824+0,000041300181169118i</v>
      </c>
      <c r="AA26" s="4">
        <f t="shared" si="70"/>
        <v>1.0000000002746765</v>
      </c>
      <c r="AB26" s="4">
        <f t="shared" si="71"/>
        <v>4.1300181169514796E-5</v>
      </c>
      <c r="AC26" s="47" t="str">
        <f t="shared" si="72"/>
        <v>50,1428985836991-14,9091632350526i</v>
      </c>
      <c r="AD26" s="20">
        <f t="shared" si="73"/>
        <v>34.372102794571532</v>
      </c>
      <c r="AE26" s="43">
        <f t="shared" si="74"/>
        <v>-16.558976856092045</v>
      </c>
      <c r="AF26" t="str">
        <f t="shared" si="54"/>
        <v>171,265703090588</v>
      </c>
      <c r="AG26" t="str">
        <f t="shared" si="55"/>
        <v>1+0,298194821399014i</v>
      </c>
      <c r="AH26">
        <f t="shared" si="75"/>
        <v>1.0435133691089873</v>
      </c>
      <c r="AI26">
        <f t="shared" si="76"/>
        <v>0.28979984560121091</v>
      </c>
      <c r="AJ26" t="str">
        <f t="shared" si="56"/>
        <v>1+0,00377702511546635i</v>
      </c>
      <c r="AK26">
        <f t="shared" si="77"/>
        <v>1.000007132933922</v>
      </c>
      <c r="AL26">
        <f t="shared" si="78"/>
        <v>3.7770071547089819E-3</v>
      </c>
      <c r="AM26" t="str">
        <f t="shared" si="57"/>
        <v>1-0,0000949703208227831i</v>
      </c>
      <c r="AN26">
        <f t="shared" si="79"/>
        <v>1.0000000045096809</v>
      </c>
      <c r="AO26">
        <f t="shared" si="80"/>
        <v>-9.4970320537259204E-5</v>
      </c>
      <c r="AP26" s="41" t="str">
        <f t="shared" si="81"/>
        <v>157,453059193275-46,3210771616442i</v>
      </c>
      <c r="AQ26">
        <f t="shared" si="82"/>
        <v>44.303509681413701</v>
      </c>
      <c r="AR26" s="43">
        <f t="shared" si="83"/>
        <v>-16.39334288588249</v>
      </c>
      <c r="AS26" t="str">
        <f t="shared" si="58"/>
        <v>-0,0000166666666666667</v>
      </c>
      <c r="AT26" t="str">
        <f t="shared" si="59"/>
        <v>2,5034122465311E-07i</v>
      </c>
      <c r="AU26">
        <f t="shared" si="84"/>
        <v>2.5034122465310999E-7</v>
      </c>
      <c r="AV26">
        <f t="shared" si="85"/>
        <v>1.5707963267948966</v>
      </c>
      <c r="AW26" t="str">
        <f t="shared" si="60"/>
        <v>1+0,000084247947053492i</v>
      </c>
      <c r="AX26">
        <f t="shared" si="86"/>
        <v>1.0000000035488583</v>
      </c>
      <c r="AY26">
        <f t="shared" si="87"/>
        <v>8.4247946854169325E-5</v>
      </c>
      <c r="AZ26" t="str">
        <f t="shared" si="61"/>
        <v>1+0,0199426926096623i</v>
      </c>
      <c r="BA26">
        <f t="shared" si="88"/>
        <v>1.0001988357264386</v>
      </c>
      <c r="BB26">
        <f t="shared" si="89"/>
        <v>1.9940049431035813E-2</v>
      </c>
      <c r="BC26" s="41" t="str">
        <f t="shared" si="90"/>
        <v>-1,32209178020763+66,5759088366193i</v>
      </c>
      <c r="BD26">
        <f t="shared" si="91"/>
        <v>36.468054406171063</v>
      </c>
      <c r="BE26" s="43">
        <f t="shared" si="92"/>
        <v>91.1376536238932</v>
      </c>
      <c r="BF26" s="41" t="str">
        <f t="shared" si="93"/>
        <v>926,297578313845+3358,02032707504i</v>
      </c>
      <c r="BG26" s="20">
        <f t="shared" si="94"/>
        <v>70.84015720074261</v>
      </c>
      <c r="BH26" s="43">
        <f t="shared" si="95"/>
        <v>74.578676767801184</v>
      </c>
      <c r="BI26" s="41" t="str">
        <f t="shared" si="96"/>
        <v>2875,70041499966+10543,8212302641i</v>
      </c>
      <c r="BJ26" s="20">
        <f t="shared" si="97"/>
        <v>80.771564087584807</v>
      </c>
      <c r="BK26" s="43">
        <f t="shared" si="98"/>
        <v>74.744310738010739</v>
      </c>
      <c r="BL26">
        <f t="shared" si="99"/>
        <v>70.84015720074261</v>
      </c>
      <c r="BM26" s="43">
        <f t="shared" si="100"/>
        <v>74.578676767801184</v>
      </c>
    </row>
    <row r="27" spans="1:65" x14ac:dyDescent="0.25">
      <c r="A27" t="s">
        <v>129</v>
      </c>
      <c r="B27" s="12">
        <f>Rsl_int</f>
        <v>3000</v>
      </c>
      <c r="C27" s="2" t="s">
        <v>36</v>
      </c>
      <c r="E27" t="s">
        <v>178</v>
      </c>
      <c r="N27" s="9">
        <v>9</v>
      </c>
      <c r="O27" s="34">
        <f t="shared" si="62"/>
        <v>12.302687708123818</v>
      </c>
      <c r="P27" s="33" t="str">
        <f t="shared" si="50"/>
        <v>54,631621870174</v>
      </c>
      <c r="Q27" s="4" t="str">
        <f t="shared" si="63"/>
        <v>1+0,308089089025974i</v>
      </c>
      <c r="R27" s="4">
        <f t="shared" si="64"/>
        <v>1.0463837187078431</v>
      </c>
      <c r="S27" s="4">
        <f t="shared" si="65"/>
        <v>0.29886135626012339</v>
      </c>
      <c r="T27" s="4" t="str">
        <f t="shared" si="51"/>
        <v>1+0,00386500333232512i</v>
      </c>
      <c r="U27" s="4">
        <f t="shared" si="66"/>
        <v>1.0000074690974856</v>
      </c>
      <c r="V27" s="4">
        <f t="shared" si="67"/>
        <v>3.864984087034627E-3</v>
      </c>
      <c r="W27" t="str">
        <f t="shared" si="52"/>
        <v>1-0,000307603157770999i</v>
      </c>
      <c r="X27" s="4">
        <f t="shared" si="68"/>
        <v>1.0000000473098503</v>
      </c>
      <c r="Y27" s="4">
        <f t="shared" si="69"/>
        <v>-3.0760314806922647E-4</v>
      </c>
      <c r="Z27" t="str">
        <f t="shared" si="53"/>
        <v>0,999999999394576+0,0000422621859702841i</v>
      </c>
      <c r="AA27" s="4">
        <f t="shared" si="70"/>
        <v>1.0000000002876219</v>
      </c>
      <c r="AB27" s="4">
        <f t="shared" si="71"/>
        <v>4.2262185970709247E-5</v>
      </c>
      <c r="AC27" s="47" t="str">
        <f t="shared" si="72"/>
        <v>49,9496906541531-15,1969170043265i</v>
      </c>
      <c r="AD27" s="20">
        <f t="shared" si="73"/>
        <v>34.355127687589672</v>
      </c>
      <c r="AE27" s="43">
        <f t="shared" si="74"/>
        <v>-16.922092904226854</v>
      </c>
      <c r="AF27" t="str">
        <f t="shared" si="54"/>
        <v>171,265703090588</v>
      </c>
      <c r="AG27" t="str">
        <f t="shared" si="55"/>
        <v>1+0,305140671072022i</v>
      </c>
      <c r="AH27">
        <f t="shared" si="75"/>
        <v>1.0455194063920019</v>
      </c>
      <c r="AI27">
        <f t="shared" si="76"/>
        <v>0.29616630828307672</v>
      </c>
      <c r="AJ27" t="str">
        <f t="shared" si="56"/>
        <v>1+0,00386500333232512i</v>
      </c>
      <c r="AK27">
        <f t="shared" si="77"/>
        <v>1.0000074690974856</v>
      </c>
      <c r="AL27">
        <f t="shared" si="78"/>
        <v>3.864984087034627E-3</v>
      </c>
      <c r="AM27" t="str">
        <f t="shared" si="57"/>
        <v>1-0,000097182463772609i</v>
      </c>
      <c r="AN27">
        <f t="shared" si="79"/>
        <v>1.0000000047222155</v>
      </c>
      <c r="AO27">
        <f t="shared" si="80"/>
        <v>-9.7182463466664629E-5</v>
      </c>
      <c r="AP27" s="41" t="str">
        <f t="shared" si="81"/>
        <v>156,857538744415-47,2183161450043i</v>
      </c>
      <c r="AQ27">
        <f t="shared" si="82"/>
        <v>44.286830984705745</v>
      </c>
      <c r="AR27" s="43">
        <f t="shared" si="83"/>
        <v>-16.753200367517699</v>
      </c>
      <c r="AS27" t="str">
        <f t="shared" si="58"/>
        <v>-0,0000166666666666667</v>
      </c>
      <c r="AT27" t="str">
        <f t="shared" si="59"/>
        <v>2,56172420866509E-07i</v>
      </c>
      <c r="AU27">
        <f t="shared" si="84"/>
        <v>2.5617242086650898E-7</v>
      </c>
      <c r="AV27">
        <f t="shared" si="85"/>
        <v>1.5707963267948966</v>
      </c>
      <c r="AW27" t="str">
        <f t="shared" si="60"/>
        <v>1+0,0000862103338338784i</v>
      </c>
      <c r="AX27">
        <f t="shared" si="86"/>
        <v>1.0000000037161108</v>
      </c>
      <c r="AY27">
        <f t="shared" si="87"/>
        <v>8.6210333620300307E-5</v>
      </c>
      <c r="AZ27" t="str">
        <f t="shared" si="61"/>
        <v>1+0,0204072175946767i</v>
      </c>
      <c r="BA27">
        <f t="shared" si="88"/>
        <v>1.0002082055901944</v>
      </c>
      <c r="BB27">
        <f t="shared" si="89"/>
        <v>2.0404385409591771E-2</v>
      </c>
      <c r="BC27" s="41" t="str">
        <f t="shared" si="90"/>
        <v>-1,32209177976539+65,0604612639591i</v>
      </c>
      <c r="BD27">
        <f t="shared" si="91"/>
        <v>36.268135773760562</v>
      </c>
      <c r="BE27" s="43">
        <f t="shared" si="92"/>
        <v>91.164145679261068</v>
      </c>
      <c r="BF27" s="41" t="str">
        <f t="shared" si="93"/>
        <v>922,680354675906+3269,84163300046i</v>
      </c>
      <c r="BG27" s="20">
        <f t="shared" si="94"/>
        <v>70.62326346135022</v>
      </c>
      <c r="BH27" s="43">
        <f t="shared" si="95"/>
        <v>74.242052775034196</v>
      </c>
      <c r="BI27" s="41" t="str">
        <f t="shared" si="96"/>
        <v>2864,66536593321+10267,6507710707i</v>
      </c>
      <c r="BJ27" s="20">
        <f t="shared" si="97"/>
        <v>80.55496675846635</v>
      </c>
      <c r="BK27" s="43">
        <f t="shared" si="98"/>
        <v>74.410945311743419</v>
      </c>
      <c r="BL27">
        <f t="shared" si="99"/>
        <v>70.62326346135022</v>
      </c>
      <c r="BM27" s="43">
        <f t="shared" si="100"/>
        <v>74.242052775034196</v>
      </c>
    </row>
    <row r="28" spans="1:65" x14ac:dyDescent="0.25">
      <c r="A28" t="s">
        <v>127</v>
      </c>
      <c r="B28" s="12">
        <f>Isl</f>
        <v>2.9999999999999997E-5</v>
      </c>
      <c r="C28" s="2" t="s">
        <v>11</v>
      </c>
      <c r="E28" t="s">
        <v>179</v>
      </c>
      <c r="N28" s="9">
        <v>10</v>
      </c>
      <c r="O28" s="34">
        <f t="shared" si="62"/>
        <v>12.58925411794168</v>
      </c>
      <c r="P28" s="33" t="str">
        <f t="shared" si="50"/>
        <v>54,631621870174</v>
      </c>
      <c r="Q28" s="4" t="str">
        <f t="shared" si="63"/>
        <v>1+0,31526540579844i</v>
      </c>
      <c r="R28" s="4">
        <f t="shared" si="64"/>
        <v>1.0485190871382624</v>
      </c>
      <c r="S28" s="4">
        <f t="shared" si="65"/>
        <v>0.30540225435870111</v>
      </c>
      <c r="T28" s="4" t="str">
        <f t="shared" si="51"/>
        <v>1+0,00395503082511007i</v>
      </c>
      <c r="U28" s="4">
        <f t="shared" si="66"/>
        <v>1.000007821103829</v>
      </c>
      <c r="V28" s="4">
        <f t="shared" si="67"/>
        <v>3.9550102034184818E-3</v>
      </c>
      <c r="W28" t="str">
        <f t="shared" si="52"/>
        <v>1-0,000314768155750495i</v>
      </c>
      <c r="X28" s="4">
        <f t="shared" si="68"/>
        <v>1.0000000495394947</v>
      </c>
      <c r="Y28" s="4">
        <f t="shared" si="69"/>
        <v>-3.1476814535485846E-4</v>
      </c>
      <c r="Z28" t="str">
        <f t="shared" si="53"/>
        <v>0,999999999366043+0,0000432465987418577i</v>
      </c>
      <c r="AA28" s="4">
        <f t="shared" si="70"/>
        <v>1.0000000003011771</v>
      </c>
      <c r="AB28" s="4">
        <f t="shared" si="71"/>
        <v>4.3246598742313269E-5</v>
      </c>
      <c r="AC28" s="47" t="str">
        <f t="shared" si="72"/>
        <v>49,7489864786476-15,4876235916067i</v>
      </c>
      <c r="AD28" s="20">
        <f t="shared" si="73"/>
        <v>34.337423421609216</v>
      </c>
      <c r="AE28" s="43">
        <f t="shared" si="74"/>
        <v>-17.292167569787548</v>
      </c>
      <c r="AF28" t="str">
        <f t="shared" si="54"/>
        <v>171,265703090588</v>
      </c>
      <c r="AG28" t="str">
        <f t="shared" si="55"/>
        <v>1+0,312248310367847i</v>
      </c>
      <c r="AH28">
        <f t="shared" si="75"/>
        <v>1.0476158682110419</v>
      </c>
      <c r="AI28">
        <f t="shared" si="76"/>
        <v>0.30265555463129484</v>
      </c>
      <c r="AJ28" t="str">
        <f t="shared" si="56"/>
        <v>1+0,00395503082511007i</v>
      </c>
      <c r="AK28">
        <f t="shared" si="77"/>
        <v>1.000007821103829</v>
      </c>
      <c r="AL28">
        <f t="shared" si="78"/>
        <v>3.9550102034184818E-3</v>
      </c>
      <c r="AM28" t="str">
        <f t="shared" si="57"/>
        <v>1-0,0000994461341510891i</v>
      </c>
      <c r="AN28">
        <f t="shared" si="79"/>
        <v>1.0000000049447668</v>
      </c>
      <c r="AO28">
        <f t="shared" si="80"/>
        <v>-9.9446133823263814E-5</v>
      </c>
      <c r="AP28" s="41" t="str">
        <f t="shared" si="81"/>
        <v>156,238826689843-48,1249802248359i</v>
      </c>
      <c r="AQ28">
        <f t="shared" si="82"/>
        <v>44.269434650666703</v>
      </c>
      <c r="AR28" s="43">
        <f t="shared" si="83"/>
        <v>-17.119978377734203</v>
      </c>
      <c r="AS28" t="str">
        <f t="shared" si="58"/>
        <v>-0,0000166666666666667</v>
      </c>
      <c r="AT28" t="str">
        <f t="shared" si="59"/>
        <v>2,62139443088295E-07i</v>
      </c>
      <c r="AU28">
        <f t="shared" si="84"/>
        <v>2.6213944308829501E-7</v>
      </c>
      <c r="AV28">
        <f t="shared" si="85"/>
        <v>1.5707963267948966</v>
      </c>
      <c r="AW28" t="str">
        <f t="shared" si="60"/>
        <v>1+0,0000882184304743922i</v>
      </c>
      <c r="AX28">
        <f t="shared" si="86"/>
        <v>1.0000000038912458</v>
      </c>
      <c r="AY28">
        <f t="shared" si="87"/>
        <v>8.8218430245539148E-5</v>
      </c>
      <c r="AZ28" t="str">
        <f t="shared" si="61"/>
        <v>1+0,0208825627565811i</v>
      </c>
      <c r="BA28">
        <f t="shared" si="88"/>
        <v>1.0002180169479464</v>
      </c>
      <c r="BB28">
        <f t="shared" si="89"/>
        <v>2.0879528051311297E-2</v>
      </c>
      <c r="BC28" s="41" t="str">
        <f t="shared" si="90"/>
        <v>-1,32209177930229+63,579509609038i</v>
      </c>
      <c r="BD28">
        <f t="shared" si="91"/>
        <v>36.068220974452444</v>
      </c>
      <c r="BE28" s="43">
        <f t="shared" si="92"/>
        <v>91.191254291836799</v>
      </c>
      <c r="BF28" s="41" t="str">
        <f t="shared" si="93"/>
        <v>918,922786911681+3183,49222369047i</v>
      </c>
      <c r="BG28" s="20">
        <f t="shared" si="94"/>
        <v>70.40564439606166</v>
      </c>
      <c r="BH28" s="43">
        <f t="shared" si="95"/>
        <v>73.899086722049276</v>
      </c>
      <c r="BI28" s="41" t="str">
        <f t="shared" si="96"/>
        <v>2853,20057426524+9997,21362356604i</v>
      </c>
      <c r="BJ28" s="20">
        <f t="shared" si="97"/>
        <v>80.337655625119154</v>
      </c>
      <c r="BK28" s="43">
        <f t="shared" si="98"/>
        <v>74.071275914102628</v>
      </c>
      <c r="BL28">
        <f t="shared" si="99"/>
        <v>70.40564439606166</v>
      </c>
      <c r="BM28" s="43">
        <f t="shared" si="100"/>
        <v>73.899086722049276</v>
      </c>
    </row>
    <row r="29" spans="1:65" x14ac:dyDescent="0.25">
      <c r="A29" t="s">
        <v>491</v>
      </c>
      <c r="B29" s="12">
        <f>Vsl</f>
        <v>4.4999999999999998E-2</v>
      </c>
      <c r="C29" s="2"/>
      <c r="N29" s="9">
        <v>11</v>
      </c>
      <c r="O29" s="34">
        <f t="shared" si="62"/>
        <v>12.882495516931346</v>
      </c>
      <c r="P29" s="33" t="str">
        <f t="shared" si="50"/>
        <v>54,631621870174</v>
      </c>
      <c r="Q29" s="4" t="str">
        <f t="shared" si="63"/>
        <v>1+0,322608880462092i</v>
      </c>
      <c r="R29" s="4">
        <f t="shared" si="64"/>
        <v>1.05075044123379</v>
      </c>
      <c r="S29" s="4">
        <f t="shared" si="65"/>
        <v>0.31206769545529267</v>
      </c>
      <c r="T29" s="4" t="str">
        <f t="shared" si="51"/>
        <v>1+0,00404715532758949i</v>
      </c>
      <c r="U29" s="4">
        <f t="shared" si="66"/>
        <v>1.0000081896995872</v>
      </c>
      <c r="V29" s="4">
        <f t="shared" si="67"/>
        <v>4.0471332310586207E-3</v>
      </c>
      <c r="W29" t="str">
        <f t="shared" si="52"/>
        <v>1-0,000322100047972618i</v>
      </c>
      <c r="X29" s="4">
        <f t="shared" si="68"/>
        <v>1.0000000518742191</v>
      </c>
      <c r="Y29" s="4">
        <f t="shared" si="69"/>
        <v>-3.2210003683349277E-4</v>
      </c>
      <c r="Z29" t="str">
        <f t="shared" si="53"/>
        <v>0,999999999336165+0,0000442539414325206i</v>
      </c>
      <c r="AA29" s="4">
        <f t="shared" si="70"/>
        <v>1.0000000003153706</v>
      </c>
      <c r="AB29" s="4">
        <f t="shared" si="71"/>
        <v>4.4253941433008771E-5</v>
      </c>
      <c r="AC29" s="47" t="str">
        <f t="shared" si="72"/>
        <v>49,5405665740034-15,7811385764236i</v>
      </c>
      <c r="AD29" s="20">
        <f t="shared" si="73"/>
        <v>34.318961836916976</v>
      </c>
      <c r="AE29" s="43">
        <f t="shared" si="74"/>
        <v>-17.669268755457839</v>
      </c>
      <c r="AF29" t="str">
        <f t="shared" si="54"/>
        <v>171,265703090588</v>
      </c>
      <c r="AG29" t="str">
        <f t="shared" si="55"/>
        <v>1+0,319521507850924i</v>
      </c>
      <c r="AH29">
        <f t="shared" si="75"/>
        <v>1.0498066459969322</v>
      </c>
      <c r="AI29">
        <f t="shared" si="76"/>
        <v>0.30926883842103225</v>
      </c>
      <c r="AJ29" t="str">
        <f t="shared" si="56"/>
        <v>1+0,00404715532758949i</v>
      </c>
      <c r="AK29">
        <f t="shared" si="77"/>
        <v>1.0000081896995872</v>
      </c>
      <c r="AL29">
        <f t="shared" si="78"/>
        <v>4.0471332310586207E-3</v>
      </c>
      <c r="AM29" t="str">
        <f t="shared" si="57"/>
        <v>1-0,000101762532186221i</v>
      </c>
      <c r="AN29">
        <f t="shared" si="79"/>
        <v>1.0000000051778064</v>
      </c>
      <c r="AO29">
        <f t="shared" si="80"/>
        <v>-1.0176253183494986E-4</v>
      </c>
      <c r="AP29" s="41" t="str">
        <f t="shared" si="81"/>
        <v>155,596236429506-49,0406336088113i</v>
      </c>
      <c r="AQ29">
        <f t="shared" si="82"/>
        <v>44.251292858795978</v>
      </c>
      <c r="AR29" s="43">
        <f t="shared" si="83"/>
        <v>-17.493746086758438</v>
      </c>
      <c r="AS29" t="str">
        <f t="shared" si="58"/>
        <v>-0,0000166666666666667</v>
      </c>
      <c r="AT29" t="str">
        <f t="shared" si="59"/>
        <v>2,68245455112632E-07i</v>
      </c>
      <c r="AU29">
        <f t="shared" si="84"/>
        <v>2.68245455112632E-7</v>
      </c>
      <c r="AV29">
        <f t="shared" si="85"/>
        <v>1.5707963267948966</v>
      </c>
      <c r="AW29" t="str">
        <f t="shared" si="60"/>
        <v>1+0,0000902733016944524i</v>
      </c>
      <c r="AX29">
        <f t="shared" si="86"/>
        <v>1.0000000040746344</v>
      </c>
      <c r="AY29">
        <f t="shared" si="87"/>
        <v>9.0273301449231931E-5</v>
      </c>
      <c r="AZ29" t="str">
        <f t="shared" si="61"/>
        <v>1+0,0213689801296725i</v>
      </c>
      <c r="BA29">
        <f t="shared" si="88"/>
        <v>1.0002282905975928</v>
      </c>
      <c r="BB29">
        <f t="shared" si="89"/>
        <v>2.1365728424472825E-2</v>
      </c>
      <c r="BC29" s="41" t="str">
        <f t="shared" si="90"/>
        <v>-1,32209177881738+62,1322686516858i</v>
      </c>
      <c r="BD29">
        <f t="shared" si="91"/>
        <v>35.868310188737674</v>
      </c>
      <c r="BE29" s="43">
        <f t="shared" si="92"/>
        <v>91.218993785769243</v>
      </c>
      <c r="BF29" s="41" t="str">
        <f t="shared" si="93"/>
        <v>915,020765874389+3098,93190510497i</v>
      </c>
      <c r="BG29" s="20">
        <f t="shared" si="94"/>
        <v>70.187272025654636</v>
      </c>
      <c r="BH29" s="43">
        <f t="shared" si="95"/>
        <v>73.549725030311379</v>
      </c>
      <c r="BI29" s="41" t="str">
        <f t="shared" si="96"/>
        <v>2841,29331723318+9732,38338155149i</v>
      </c>
      <c r="BJ29" s="20">
        <f t="shared" si="97"/>
        <v>80.119603047533658</v>
      </c>
      <c r="BK29" s="43">
        <f t="shared" si="98"/>
        <v>73.725247699010794</v>
      </c>
      <c r="BL29">
        <f t="shared" si="99"/>
        <v>70.187272025654636</v>
      </c>
      <c r="BM29" s="43">
        <f t="shared" si="100"/>
        <v>73.549725030311379</v>
      </c>
    </row>
    <row r="30" spans="1:65" x14ac:dyDescent="0.25">
      <c r="A30" t="s">
        <v>201</v>
      </c>
      <c r="B30" s="12">
        <f>Gcomp</f>
        <v>1</v>
      </c>
      <c r="C30" s="2"/>
      <c r="E30" t="s">
        <v>202</v>
      </c>
      <c r="N30" s="9">
        <v>12</v>
      </c>
      <c r="O30" s="34">
        <f t="shared" si="62"/>
        <v>13.182567385564075</v>
      </c>
      <c r="P30" s="33" t="str">
        <f t="shared" si="50"/>
        <v>54,631621870174</v>
      </c>
      <c r="Q30" s="4" t="str">
        <f t="shared" si="63"/>
        <v>1+0,330123406624398i</v>
      </c>
      <c r="R30" s="4">
        <f t="shared" si="64"/>
        <v>1.0530818883644792</v>
      </c>
      <c r="S30" s="4">
        <f t="shared" si="65"/>
        <v>0.31885884375725304</v>
      </c>
      <c r="T30" s="4" t="str">
        <f t="shared" si="51"/>
        <v>1+0,00414142568539405i</v>
      </c>
      <c r="U30" s="4">
        <f t="shared" si="66"/>
        <v>1.0000085756665829</v>
      </c>
      <c r="V30" s="4">
        <f t="shared" si="67"/>
        <v>4.141402008545611E-3</v>
      </c>
      <c r="W30" t="str">
        <f t="shared" si="52"/>
        <v>1-0,000329602721903675i</v>
      </c>
      <c r="X30" s="4">
        <f t="shared" si="68"/>
        <v>1.0000000543189755</v>
      </c>
      <c r="Y30" s="4">
        <f t="shared" si="69"/>
        <v>-3.2960270996788729E-4</v>
      </c>
      <c r="Z30" t="str">
        <f t="shared" si="53"/>
        <v>0,99999999930488+0,0000452847481487013i</v>
      </c>
      <c r="AA30" s="4">
        <f t="shared" si="70"/>
        <v>1.0000000003302343</v>
      </c>
      <c r="AB30" s="4">
        <f t="shared" si="71"/>
        <v>4.5284748149224357E-5</v>
      </c>
      <c r="AC30" s="47" t="str">
        <f t="shared" si="72"/>
        <v>49,3242112496948-16,0773045589283i</v>
      </c>
      <c r="AD30" s="20">
        <f t="shared" si="73"/>
        <v>34.299713960749976</v>
      </c>
      <c r="AE30" s="43">
        <f t="shared" si="74"/>
        <v>-18.053460620497766</v>
      </c>
      <c r="AF30" t="str">
        <f t="shared" si="54"/>
        <v>171,265703090588</v>
      </c>
      <c r="AG30" t="str">
        <f t="shared" si="55"/>
        <v>1+0,32696411986683i</v>
      </c>
      <c r="AH30">
        <f t="shared" si="75"/>
        <v>1.0520957825598822</v>
      </c>
      <c r="AI30">
        <f t="shared" si="76"/>
        <v>0.31600735139652952</v>
      </c>
      <c r="AJ30" t="str">
        <f t="shared" si="56"/>
        <v>1+0,00414142568539405i</v>
      </c>
      <c r="AK30">
        <f t="shared" si="77"/>
        <v>1.0000085756665829</v>
      </c>
      <c r="AL30">
        <f t="shared" si="78"/>
        <v>4.141402008545611E-3</v>
      </c>
      <c r="AM30" t="str">
        <f t="shared" si="57"/>
        <v>1-0,000104132886062905i</v>
      </c>
      <c r="AN30">
        <f t="shared" si="79"/>
        <v>1.000000005421829</v>
      </c>
      <c r="AO30">
        <f t="shared" si="80"/>
        <v>-1.041328856865112E-4</v>
      </c>
      <c r="AP30" s="41" t="str">
        <f t="shared" si="81"/>
        <v>154,929079939034-49,9648004741839i</v>
      </c>
      <c r="AQ30">
        <f t="shared" si="82"/>
        <v>44.232376976054468</v>
      </c>
      <c r="AR30" s="43">
        <f t="shared" si="83"/>
        <v>-17.874569048630345</v>
      </c>
      <c r="AS30" t="str">
        <f t="shared" si="58"/>
        <v>-0,0000166666666666667</v>
      </c>
      <c r="AT30" t="str">
        <f t="shared" si="59"/>
        <v>2,74493694427918E-07i</v>
      </c>
      <c r="AU30">
        <f t="shared" si="84"/>
        <v>2.74493694427918E-7</v>
      </c>
      <c r="AV30">
        <f t="shared" si="85"/>
        <v>1.5707963267948966</v>
      </c>
      <c r="AW30" t="str">
        <f t="shared" si="60"/>
        <v>1+0,0000923760370139795i</v>
      </c>
      <c r="AX30">
        <f t="shared" si="86"/>
        <v>1.0000000042666661</v>
      </c>
      <c r="AY30">
        <f t="shared" si="87"/>
        <v>9.2376036751221029E-5</v>
      </c>
      <c r="AZ30" t="str">
        <f t="shared" si="61"/>
        <v>1+0,0218667276188806i</v>
      </c>
      <c r="BA30">
        <f t="shared" si="88"/>
        <v>1.0002390483163304</v>
      </c>
      <c r="BB30">
        <f t="shared" si="89"/>
        <v>2.18632433989563E-2</v>
      </c>
      <c r="BC30" s="41" t="str">
        <f t="shared" si="90"/>
        <v>-1,32209177830961+60,7179710455906i</v>
      </c>
      <c r="BD30">
        <f t="shared" si="91"/>
        <v>35.668403605598364</v>
      </c>
      <c r="BE30" s="43">
        <f t="shared" si="92"/>
        <v>91.247378816193461</v>
      </c>
      <c r="BF30" s="41" t="str">
        <f t="shared" si="93"/>
        <v>910,970178535322+3016,1217026803i</v>
      </c>
      <c r="BG30" s="20">
        <f t="shared" si="94"/>
        <v>69.968117566348326</v>
      </c>
      <c r="BH30" s="43">
        <f t="shared" si="95"/>
        <v>73.193918195695701</v>
      </c>
      <c r="BI30" s="41" t="str">
        <f t="shared" si="96"/>
        <v>2828,93084568174+9473,03744177006i</v>
      </c>
      <c r="BJ30" s="20">
        <f t="shared" si="97"/>
        <v>79.900780581652825</v>
      </c>
      <c r="BK30" s="43">
        <f t="shared" si="98"/>
        <v>73.372809767563126</v>
      </c>
      <c r="BL30">
        <f t="shared" si="99"/>
        <v>69.968117566348326</v>
      </c>
      <c r="BM30" s="43">
        <f t="shared" si="100"/>
        <v>73.193918195695701</v>
      </c>
    </row>
    <row r="31" spans="1:65" x14ac:dyDescent="0.25">
      <c r="A31" t="s">
        <v>481</v>
      </c>
      <c r="B31">
        <f>IF(Variable_Management!B20=3,1,IF((VOUT*IOUT)/(VIN_var*Np)&lt;((VIN_var*(1-(VIN_var/VOUT)))/(2*Lm*Fsw)),0,1))</f>
        <v>1</v>
      </c>
      <c r="E31" t="s">
        <v>482</v>
      </c>
      <c r="N31" s="9">
        <v>13</v>
      </c>
      <c r="O31" s="34">
        <f t="shared" si="62"/>
        <v>13.489628825916535</v>
      </c>
      <c r="P31" s="33" t="str">
        <f t="shared" si="50"/>
        <v>54,631621870174</v>
      </c>
      <c r="Q31" s="4" t="str">
        <f t="shared" si="63"/>
        <v>1+0,337812968586596i</v>
      </c>
      <c r="R31" s="4">
        <f t="shared" si="64"/>
        <v>1.0555176937149318</v>
      </c>
      <c r="S31" s="4">
        <f t="shared" si="65"/>
        <v>0.32577679351447347</v>
      </c>
      <c r="T31" s="4" t="str">
        <f t="shared" si="51"/>
        <v>1+0,00423789188191525i</v>
      </c>
      <c r="U31" s="4">
        <f t="shared" si="66"/>
        <v>1.0000089798234828</v>
      </c>
      <c r="V31" s="4">
        <f t="shared" si="67"/>
        <v>4.2378665117273643E-3</v>
      </c>
      <c r="W31" t="str">
        <f t="shared" si="52"/>
        <v>1-0,000337280155560692i</v>
      </c>
      <c r="X31" s="4">
        <f t="shared" si="68"/>
        <v>1.00000005687895</v>
      </c>
      <c r="Y31" s="4">
        <f t="shared" si="69"/>
        <v>-3.372801427712651E-4</v>
      </c>
      <c r="Z31" t="str">
        <f t="shared" si="53"/>
        <v>0,99999999927212+0,0000463395654377649i</v>
      </c>
      <c r="AA31" s="4">
        <f t="shared" si="70"/>
        <v>1.0000000003457976</v>
      </c>
      <c r="AB31" s="4">
        <f t="shared" si="71"/>
        <v>4.6339565438325371E-5</v>
      </c>
      <c r="AC31" s="47" t="str">
        <f t="shared" si="72"/>
        <v>49,0997012373578-16,3759506963461i</v>
      </c>
      <c r="AD31" s="20">
        <f t="shared" si="73"/>
        <v>34.279650007691338</v>
      </c>
      <c r="AE31" s="43">
        <f t="shared" si="74"/>
        <v>-18.444803256640803</v>
      </c>
      <c r="AF31" t="str">
        <f t="shared" si="54"/>
        <v>171,265703090588</v>
      </c>
      <c r="AG31" t="str">
        <f t="shared" si="55"/>
        <v>1+0,334580092586972i</v>
      </c>
      <c r="AH31">
        <f t="shared" si="75"/>
        <v>1.0544874766233625</v>
      </c>
      <c r="AI31">
        <f t="shared" si="76"/>
        <v>0.32287221772110314</v>
      </c>
      <c r="AJ31" t="str">
        <f t="shared" si="56"/>
        <v>1+0,00423789188191525i</v>
      </c>
      <c r="AK31">
        <f t="shared" si="77"/>
        <v>1.0000089798234828</v>
      </c>
      <c r="AL31">
        <f t="shared" si="78"/>
        <v>4.2378665117273643E-3</v>
      </c>
      <c r="AM31" t="str">
        <f t="shared" si="57"/>
        <v>1-0,000106558452574141i</v>
      </c>
      <c r="AN31">
        <f t="shared" si="79"/>
        <v>1.0000000056773519</v>
      </c>
      <c r="AO31">
        <f t="shared" si="80"/>
        <v>-1.0655845217082778E-4</v>
      </c>
      <c r="AP31" s="41" t="str">
        <f t="shared" si="81"/>
        <v>154,236669672768-50,8969634949432i</v>
      </c>
      <c r="AQ31">
        <f t="shared" si="82"/>
        <v>44.212657556303938</v>
      </c>
      <c r="AR31" s="43">
        <f t="shared" si="83"/>
        <v>-18.262508881767275</v>
      </c>
      <c r="AS31" t="str">
        <f t="shared" si="58"/>
        <v>-0,0000166666666666667</v>
      </c>
      <c r="AT31" t="str">
        <f t="shared" si="59"/>
        <v>2,80887473933343E-07i</v>
      </c>
      <c r="AU31">
        <f t="shared" si="84"/>
        <v>2.8088747393334302E-7</v>
      </c>
      <c r="AV31">
        <f t="shared" si="85"/>
        <v>1.5707963267948966</v>
      </c>
      <c r="AW31" t="str">
        <f t="shared" si="60"/>
        <v>1+0,0000945277513310728i</v>
      </c>
      <c r="AX31">
        <f t="shared" si="86"/>
        <v>1.0000000044677477</v>
      </c>
      <c r="AY31">
        <f t="shared" si="87"/>
        <v>9.4527751049522024E-5</v>
      </c>
      <c r="AZ31" t="str">
        <f t="shared" si="61"/>
        <v>1+0,0223760691365125i</v>
      </c>
      <c r="BA31">
        <f t="shared" si="88"/>
        <v>1.0002503129067255</v>
      </c>
      <c r="BB31">
        <f t="shared" si="89"/>
        <v>2.2372335778057854E-2</v>
      </c>
      <c r="BC31" s="41" t="str">
        <f t="shared" si="90"/>
        <v>-1,32209177777791+59,3358669114413i</v>
      </c>
      <c r="BD31">
        <f t="shared" si="91"/>
        <v>35.468501422906371</v>
      </c>
      <c r="BE31" s="43">
        <f t="shared" si="92"/>
        <v>91.276424376750242</v>
      </c>
      <c r="BF31" s="41" t="str">
        <f t="shared" si="93"/>
        <v>906,766919769454+2935,02384778033i</v>
      </c>
      <c r="BG31" s="20">
        <f t="shared" si="94"/>
        <v>69.748151430597702</v>
      </c>
      <c r="BH31" s="43">
        <f t="shared" si="95"/>
        <v>72.83162112010946</v>
      </c>
      <c r="BI31" s="41" t="str">
        <f t="shared" si="96"/>
        <v>2816,10041932622+9219,05696151782i</v>
      </c>
      <c r="BJ31" s="20">
        <f t="shared" si="97"/>
        <v>79.681158979210295</v>
      </c>
      <c r="BK31" s="43">
        <f t="shared" si="98"/>
        <v>73.013915494982982</v>
      </c>
      <c r="BL31">
        <f t="shared" si="99"/>
        <v>69.748151430597702</v>
      </c>
      <c r="BM31" s="43">
        <f t="shared" si="100"/>
        <v>72.83162112010946</v>
      </c>
    </row>
    <row r="32" spans="1:65" ht="15.75" x14ac:dyDescent="0.25">
      <c r="A32" s="35" t="s">
        <v>476</v>
      </c>
      <c r="E32" s="31" t="s">
        <v>500</v>
      </c>
      <c r="N32" s="9">
        <v>14</v>
      </c>
      <c r="O32" s="34">
        <f t="shared" si="62"/>
        <v>13.803842646028857</v>
      </c>
      <c r="P32" s="33" t="str">
        <f t="shared" si="50"/>
        <v>54,631621870174</v>
      </c>
      <c r="Q32" s="4" t="str">
        <f t="shared" si="63"/>
        <v>1+0,345681643456223i</v>
      </c>
      <c r="R32" s="4">
        <f t="shared" si="64"/>
        <v>1.0580622848502801</v>
      </c>
      <c r="S32" s="4">
        <f t="shared" si="65"/>
        <v>0.33282256319254278</v>
      </c>
      <c r="T32" s="4" t="str">
        <f t="shared" si="51"/>
        <v>1+0,00433660506480738i</v>
      </c>
      <c r="U32" s="4">
        <f t="shared" si="66"/>
        <v>1.0000094030275355</v>
      </c>
      <c r="V32" s="4">
        <f t="shared" si="67"/>
        <v>4.3365778801750894E-3</v>
      </c>
      <c r="W32" t="str">
        <f t="shared" si="52"/>
        <v>1-0,000345136419620619i</v>
      </c>
      <c r="X32" s="4">
        <f t="shared" si="68"/>
        <v>1.0000000595595724</v>
      </c>
      <c r="Y32" s="4">
        <f t="shared" si="69"/>
        <v>-3.4513640591650121E-4</v>
      </c>
      <c r="Z32" t="str">
        <f t="shared" si="53"/>
        <v>0,999999999237816+0,0000474189525778002i</v>
      </c>
      <c r="AA32" s="4">
        <f t="shared" si="70"/>
        <v>1.0000000003620944</v>
      </c>
      <c r="AB32" s="4">
        <f t="shared" si="71"/>
        <v>4.7418952578400761E-5</v>
      </c>
      <c r="AC32" s="47" t="str">
        <f t="shared" si="72"/>
        <v>48,8668183737119-16,6768922586573i</v>
      </c>
      <c r="AD32" s="20">
        <f t="shared" si="73"/>
        <v>34.258739382496699</v>
      </c>
      <c r="AE32" s="43">
        <f t="shared" si="74"/>
        <v>-18.843352352862016</v>
      </c>
      <c r="AF32" t="str">
        <f t="shared" si="54"/>
        <v>171,265703090588</v>
      </c>
      <c r="AG32" t="str">
        <f t="shared" si="55"/>
        <v>1+0,342373464100894i</v>
      </c>
      <c r="AH32">
        <f t="shared" si="75"/>
        <v>1.0569860873826327</v>
      </c>
      <c r="AI32">
        <f t="shared" si="76"/>
        <v>0.32986448823019082</v>
      </c>
      <c r="AJ32" t="str">
        <f t="shared" si="56"/>
        <v>1+0,00433660506480738i</v>
      </c>
      <c r="AK32">
        <f t="shared" si="77"/>
        <v>1.0000094030275355</v>
      </c>
      <c r="AL32">
        <f t="shared" si="78"/>
        <v>4.3365778801750894E-3</v>
      </c>
      <c r="AM32" t="str">
        <f t="shared" si="57"/>
        <v>1-0,000109040517787399i</v>
      </c>
      <c r="AN32">
        <f t="shared" si="79"/>
        <v>1.0000000059449172</v>
      </c>
      <c r="AO32">
        <f t="shared" si="80"/>
        <v>-1.090405173552411E-4</v>
      </c>
      <c r="AP32" s="41" t="str">
        <f t="shared" si="81"/>
        <v>153,518320632301-51,8365624233266i</v>
      </c>
      <c r="AQ32">
        <f t="shared" si="82"/>
        <v>44.192104342094737</v>
      </c>
      <c r="AR32" s="43">
        <f t="shared" si="83"/>
        <v>-18.657622938209368</v>
      </c>
      <c r="AS32" t="str">
        <f t="shared" si="58"/>
        <v>-0,0000166666666666667</v>
      </c>
      <c r="AT32" t="str">
        <f t="shared" si="59"/>
        <v>2,87430183695433E-07i</v>
      </c>
      <c r="AU32">
        <f t="shared" si="84"/>
        <v>2.87430183695433E-7</v>
      </c>
      <c r="AV32">
        <f t="shared" si="85"/>
        <v>1.5707963267948966</v>
      </c>
      <c r="AW32" t="str">
        <f t="shared" si="60"/>
        <v>1+0,0000967295855131446i</v>
      </c>
      <c r="AX32">
        <f t="shared" si="86"/>
        <v>1.0000000046783064</v>
      </c>
      <c r="AY32">
        <f t="shared" si="87"/>
        <v>9.6729585211457515E-5</v>
      </c>
      <c r="AZ32" t="str">
        <f t="shared" si="61"/>
        <v>1+0,0228972747421829i</v>
      </c>
      <c r="BA32">
        <f t="shared" si="88"/>
        <v>1.0002621082449434</v>
      </c>
      <c r="BB32">
        <f t="shared" si="89"/>
        <v>2.2893274433138242E-2</v>
      </c>
      <c r="BC32" s="41" t="str">
        <f t="shared" si="90"/>
        <v>-1,32209177722116+57,9852234393313i</v>
      </c>
      <c r="BD32">
        <f t="shared" si="91"/>
        <v>35.268603847840659</v>
      </c>
      <c r="BE32" s="43">
        <f t="shared" si="92"/>
        <v>91.306145807266901</v>
      </c>
      <c r="BF32" s="41" t="str">
        <f t="shared" si="93"/>
        <v>902,406905141054+2855,60176429368i</v>
      </c>
      <c r="BG32" s="20">
        <f t="shared" si="94"/>
        <v>69.527343230337365</v>
      </c>
      <c r="BH32" s="43">
        <f t="shared" si="95"/>
        <v>72.462793454404888</v>
      </c>
      <c r="BI32" s="41" t="str">
        <f t="shared" si="96"/>
        <v>2802,78934508267+8970,32681683417i</v>
      </c>
      <c r="BJ32" s="20">
        <f t="shared" si="97"/>
        <v>79.460708189935389</v>
      </c>
      <c r="BK32" s="43">
        <f t="shared" si="98"/>
        <v>72.648522869057558</v>
      </c>
      <c r="BL32">
        <f t="shared" si="99"/>
        <v>69.527343230337365</v>
      </c>
      <c r="BM32" s="43">
        <f t="shared" si="100"/>
        <v>72.462793454404888</v>
      </c>
    </row>
    <row r="33" spans="1:65" x14ac:dyDescent="0.25">
      <c r="N33" s="9">
        <v>15</v>
      </c>
      <c r="O33" s="34">
        <f t="shared" si="62"/>
        <v>14.125375446227544</v>
      </c>
      <c r="P33" s="33" t="str">
        <f t="shared" si="50"/>
        <v>54,631621870174</v>
      </c>
      <c r="Q33" s="4" t="str">
        <f t="shared" si="63"/>
        <v>1+0,353733603308847i</v>
      </c>
      <c r="R33" s="4">
        <f t="shared" si="64"/>
        <v>1.0607202562927989</v>
      </c>
      <c r="S33" s="4">
        <f t="shared" si="65"/>
        <v>0.33999708946140389</v>
      </c>
      <c r="T33" s="4" t="str">
        <f t="shared" si="51"/>
        <v>1+0,00443761757310661i</v>
      </c>
      <c r="U33" s="4">
        <f t="shared" si="66"/>
        <v>1.0000098461763889</v>
      </c>
      <c r="V33" s="4">
        <f t="shared" si="67"/>
        <v>4.4375884442637943E-3</v>
      </c>
      <c r="W33" t="str">
        <f t="shared" si="52"/>
        <v>1-0,000353175679578649i</v>
      </c>
      <c r="X33" s="4">
        <f t="shared" si="68"/>
        <v>1.0000000623665284</v>
      </c>
      <c r="Y33" s="4">
        <f t="shared" si="69"/>
        <v>-3.5317566489442229E-4</v>
      </c>
      <c r="Z33" t="str">
        <f t="shared" si="53"/>
        <v>0,999999999201895+0,0000485234818741564i</v>
      </c>
      <c r="AA33" s="4">
        <f t="shared" si="70"/>
        <v>1.0000000003791589</v>
      </c>
      <c r="AB33" s="4">
        <f t="shared" si="71"/>
        <v>4.8523481874799926E-5</v>
      </c>
      <c r="AC33" s="47" t="str">
        <f t="shared" si="72"/>
        <v>48,6253463380465-16,9799302082335i</v>
      </c>
      <c r="AD33" s="20">
        <f t="shared" si="73"/>
        <v>34.236950685550909</v>
      </c>
      <c r="AE33" s="43">
        <f t="shared" si="74"/>
        <v>-19.249158849541914</v>
      </c>
      <c r="AF33" t="str">
        <f t="shared" si="54"/>
        <v>171,265703090588</v>
      </c>
      <c r="AG33" t="str">
        <f t="shared" si="55"/>
        <v>1+0,350348366557331i</v>
      </c>
      <c r="AH33">
        <f t="shared" si="75"/>
        <v>1.0595961390781821</v>
      </c>
      <c r="AI33">
        <f t="shared" si="76"/>
        <v>0.33698513449582007</v>
      </c>
      <c r="AJ33" t="str">
        <f t="shared" si="56"/>
        <v>1+0,00443761757310661i</v>
      </c>
      <c r="AK33">
        <f t="shared" si="77"/>
        <v>1.0000098461763889</v>
      </c>
      <c r="AL33">
        <f t="shared" si="78"/>
        <v>4.4375884442637943E-3</v>
      </c>
      <c r="AM33" t="str">
        <f t="shared" si="57"/>
        <v>1-0,000111580397726511i</v>
      </c>
      <c r="AN33">
        <f t="shared" si="79"/>
        <v>1.0000000062250924</v>
      </c>
      <c r="AO33">
        <f t="shared" si="80"/>
        <v>-1.1158039726344546E-4</v>
      </c>
      <c r="AP33" s="41" t="str">
        <f t="shared" si="81"/>
        <v>152,773352604514-52,7829927400412i</v>
      </c>
      <c r="AQ33">
        <f t="shared" si="82"/>
        <v>44.170686268999248</v>
      </c>
      <c r="AR33" s="43">
        <f t="shared" si="83"/>
        <v>-19.05996396202616</v>
      </c>
      <c r="AS33" t="str">
        <f t="shared" si="58"/>
        <v>-0,0000166666666666667</v>
      </c>
      <c r="AT33" t="str">
        <f t="shared" si="59"/>
        <v>2,94125292745506E-07i</v>
      </c>
      <c r="AU33">
        <f t="shared" si="84"/>
        <v>2.9412529274550601E-7</v>
      </c>
      <c r="AV33">
        <f t="shared" si="85"/>
        <v>1.5707963267948966</v>
      </c>
      <c r="AW33" t="str">
        <f t="shared" si="60"/>
        <v>1+0,0000989827070018227i</v>
      </c>
      <c r="AX33">
        <f t="shared" si="86"/>
        <v>1.000000004898788</v>
      </c>
      <c r="AY33">
        <f t="shared" si="87"/>
        <v>9.8982706678559158E-5</v>
      </c>
      <c r="AZ33" t="str">
        <f t="shared" si="61"/>
        <v>1+0,0234306207860029i</v>
      </c>
      <c r="BA33">
        <f t="shared" si="88"/>
        <v>1.0002744593312465</v>
      </c>
      <c r="BB33">
        <f t="shared" si="89"/>
        <v>2.3426334441153121E-2</v>
      </c>
      <c r="BC33" s="41" t="str">
        <f t="shared" si="90"/>
        <v>-1,32209177663817+56,6653245002141i</v>
      </c>
      <c r="BD33">
        <f t="shared" si="91"/>
        <v>35.068711097324311</v>
      </c>
      <c r="BE33" s="43">
        <f t="shared" si="92"/>
        <v>91.336558801602564</v>
      </c>
      <c r="BF33" s="41" t="str">
        <f t="shared" si="93"/>
        <v>897,886084710825+2777,8200552769i</v>
      </c>
      <c r="BG33" s="20">
        <f t="shared" si="94"/>
        <v>69.305661782875234</v>
      </c>
      <c r="BH33" s="43">
        <f t="shared" si="95"/>
        <v>72.087399952060679</v>
      </c>
      <c r="BI33" s="41" t="str">
        <f t="shared" si="96"/>
        <v>2788,98501853901+8726,73556096838i</v>
      </c>
      <c r="BJ33" s="20">
        <f t="shared" si="97"/>
        <v>79.239397366323573</v>
      </c>
      <c r="BK33" s="43">
        <f t="shared" si="98"/>
        <v>72.276594839576418</v>
      </c>
      <c r="BL33">
        <f t="shared" si="99"/>
        <v>69.305661782875234</v>
      </c>
      <c r="BM33" s="43">
        <f t="shared" si="100"/>
        <v>72.087399952060679</v>
      </c>
    </row>
    <row r="34" spans="1:65" x14ac:dyDescent="0.25">
      <c r="A34" t="s">
        <v>494</v>
      </c>
      <c r="B34">
        <f>(R_cs*Acs/(2*Lm*Fsw))*(1-(VIN_var/VOUT))*(VIN_var/VOUT)</f>
        <v>8.1666521093545286E-4</v>
      </c>
      <c r="E34" t="s">
        <v>497</v>
      </c>
      <c r="N34" s="9">
        <v>16</v>
      </c>
      <c r="O34" s="34">
        <f t="shared" si="62"/>
        <v>14.454397707459275</v>
      </c>
      <c r="P34" s="33" t="str">
        <f t="shared" si="50"/>
        <v>54,631621870174</v>
      </c>
      <c r="Q34" s="4" t="str">
        <f t="shared" si="63"/>
        <v>1+0,361973117400163i</v>
      </c>
      <c r="R34" s="4">
        <f t="shared" si="64"/>
        <v>1.0634963740983756</v>
      </c>
      <c r="S34" s="4">
        <f t="shared" si="65"/>
        <v>0.34730122101080196</v>
      </c>
      <c r="T34" s="4" t="str">
        <f t="shared" si="51"/>
        <v>1+0,00454098296498192i</v>
      </c>
      <c r="U34" s="4">
        <f t="shared" si="66"/>
        <v>1.000010310209994</v>
      </c>
      <c r="V34" s="4">
        <f t="shared" si="67"/>
        <v>4.5409517528818832E-3</v>
      </c>
      <c r="W34" t="str">
        <f t="shared" si="52"/>
        <v>1-0,000361402197956825i</v>
      </c>
      <c r="X34" s="4">
        <f t="shared" si="68"/>
        <v>1.0000000653057721</v>
      </c>
      <c r="Y34" s="4">
        <f t="shared" si="69"/>
        <v>-3.6140218222239265E-4</v>
      </c>
      <c r="Z34" t="str">
        <f t="shared" si="53"/>
        <v>0,999999999164282+0,0000496537389628864i</v>
      </c>
      <c r="AA34" s="4">
        <f t="shared" si="70"/>
        <v>1.0000000003970286</v>
      </c>
      <c r="AB34" s="4">
        <f t="shared" si="71"/>
        <v>4.9653738963575925E-5</v>
      </c>
      <c r="AC34" s="47" t="str">
        <f t="shared" si="72"/>
        <v>48,3750714450969-17,2848508085106i</v>
      </c>
      <c r="AD34" s="20">
        <f t="shared" si="73"/>
        <v>34.214251721158988</v>
      </c>
      <c r="AE34" s="43">
        <f t="shared" si="74"/>
        <v>-19.662268582674312</v>
      </c>
      <c r="AF34" t="str">
        <f t="shared" si="54"/>
        <v>171,265703090588</v>
      </c>
      <c r="AG34" t="str">
        <f t="shared" si="55"/>
        <v>1+0,358509028355126i</v>
      </c>
      <c r="AH34">
        <f t="shared" si="75"/>
        <v>1.0623223255736163</v>
      </c>
      <c r="AI34">
        <f t="shared" si="76"/>
        <v>0.34423504271287508</v>
      </c>
      <c r="AJ34" t="str">
        <f t="shared" si="56"/>
        <v>1+0,00454098296498192i</v>
      </c>
      <c r="AK34">
        <f t="shared" si="77"/>
        <v>1.000010310209994</v>
      </c>
      <c r="AL34">
        <f t="shared" si="78"/>
        <v>4.5409517528818832E-3</v>
      </c>
      <c r="AM34" t="str">
        <f t="shared" si="57"/>
        <v>1-0,000114179439069438i</v>
      </c>
      <c r="AN34">
        <f t="shared" si="79"/>
        <v>1.0000000065184722</v>
      </c>
      <c r="AO34">
        <f t="shared" si="80"/>
        <v>-1.1417943857325434E-4</v>
      </c>
      <c r="AP34" s="41" t="str">
        <f t="shared" si="81"/>
        <v>152,001092572158-53,7356043886525i</v>
      </c>
      <c r="AQ34">
        <f t="shared" si="82"/>
        <v>44.148371472694699</v>
      </c>
      <c r="AR34" s="43">
        <f t="shared" si="83"/>
        <v>-19.469579737478078</v>
      </c>
      <c r="AS34" t="str">
        <f t="shared" si="58"/>
        <v>-0,0000166666666666667</v>
      </c>
      <c r="AT34" t="str">
        <f t="shared" si="59"/>
        <v>3,00976350919002E-07i</v>
      </c>
      <c r="AU34">
        <f t="shared" si="84"/>
        <v>3.0097635091900198E-7</v>
      </c>
      <c r="AV34">
        <f t="shared" si="85"/>
        <v>1.5707963267948966</v>
      </c>
      <c r="AW34" t="str">
        <f t="shared" si="60"/>
        <v>1+0,000101288310431944i</v>
      </c>
      <c r="AX34">
        <f t="shared" si="86"/>
        <v>1.0000000051296609</v>
      </c>
      <c r="AY34">
        <f t="shared" si="87"/>
        <v>1.0128831008556088E-4</v>
      </c>
      <c r="AZ34" t="str">
        <f t="shared" si="61"/>
        <v>1+0,0239763900551045i</v>
      </c>
      <c r="BA34">
        <f t="shared" si="88"/>
        <v>1.0002873923428579</v>
      </c>
      <c r="BB34">
        <f t="shared" si="89"/>
        <v>2.3971797225115402E-2</v>
      </c>
      <c r="BC34" s="41" t="str">
        <f t="shared" si="90"/>
        <v>-1,32209177602769+55,3754702662011i</v>
      </c>
      <c r="BD34">
        <f t="shared" si="91"/>
        <v>34.868823398481659</v>
      </c>
      <c r="BE34" s="43">
        <f t="shared" si="92"/>
        <v>91.367679415660604</v>
      </c>
      <c r="BF34" s="41" t="str">
        <f t="shared" si="93"/>
        <v>893,200457880086+2701,64448953711i</v>
      </c>
      <c r="BG34" s="20">
        <f t="shared" si="94"/>
        <v>69.08307511964064</v>
      </c>
      <c r="BH34" s="43">
        <f t="shared" si="95"/>
        <v>71.705410832986274</v>
      </c>
      <c r="BI34" s="41" t="str">
        <f t="shared" si="96"/>
        <v>2774,6749686233+8488,17538280173i</v>
      </c>
      <c r="BJ34" s="20">
        <f t="shared" si="97"/>
        <v>79.017194871176372</v>
      </c>
      <c r="BK34" s="43">
        <f t="shared" si="98"/>
        <v>71.898099678182518</v>
      </c>
      <c r="BL34">
        <f t="shared" si="99"/>
        <v>69.08307511964064</v>
      </c>
      <c r="BM34" s="43">
        <f t="shared" si="100"/>
        <v>71.705410832986274</v>
      </c>
    </row>
    <row r="35" spans="1:65" x14ac:dyDescent="0.25">
      <c r="A35" t="s">
        <v>495</v>
      </c>
      <c r="B35">
        <f>1/((0.5-(1-(VIN_var/VOUT)))*(R_cs*Acs/(Lm*Fsw))+(Vsl*Acs/VOUT))</f>
        <v>182.90598290598294</v>
      </c>
      <c r="E35" t="s">
        <v>497</v>
      </c>
      <c r="N35" s="9">
        <v>17</v>
      </c>
      <c r="O35" s="34">
        <f t="shared" si="62"/>
        <v>14.791083881682074</v>
      </c>
      <c r="P35" s="33" t="str">
        <f t="shared" si="50"/>
        <v>54,631621870174</v>
      </c>
      <c r="Q35" s="4" t="str">
        <f t="shared" si="63"/>
        <v>1+0,370404554429606i</v>
      </c>
      <c r="R35" s="4">
        <f t="shared" si="64"/>
        <v>1.0663955804213532</v>
      </c>
      <c r="S35" s="4">
        <f t="shared" si="65"/>
        <v>0.35473571220602934</v>
      </c>
      <c r="T35" s="4" t="str">
        <f t="shared" si="51"/>
        <v>1+0,00464675604613228i</v>
      </c>
      <c r="U35" s="4">
        <f t="shared" si="66"/>
        <v>1.0000107961125981</v>
      </c>
      <c r="V35" s="4">
        <f t="shared" si="67"/>
        <v>4.6467226017840348E-3</v>
      </c>
      <c r="W35" t="str">
        <f t="shared" si="52"/>
        <v>1-0,000369820336564081i</v>
      </c>
      <c r="X35" s="4">
        <f t="shared" si="68"/>
        <v>1.0000000683835384</v>
      </c>
      <c r="Y35" s="4">
        <f t="shared" si="69"/>
        <v>-3.6982031970433303E-4</v>
      </c>
      <c r="Z35" t="str">
        <f t="shared" si="53"/>
        <v>0,999999999124895+0,0000508103231212595i</v>
      </c>
      <c r="AA35" s="4">
        <f t="shared" si="70"/>
        <v>1.0000000004157392</v>
      </c>
      <c r="AB35" s="4">
        <f t="shared" si="71"/>
        <v>5.0810323121998386E-5</v>
      </c>
      <c r="AC35" s="47" t="str">
        <f t="shared" si="72"/>
        <v>48,1157834937512-17,5914252671126i</v>
      </c>
      <c r="AD35" s="20">
        <f t="shared" si="73"/>
        <v>34.190609508877301</v>
      </c>
      <c r="AE35" s="43">
        <f t="shared" si="74"/>
        <v>-20.082721918890392</v>
      </c>
      <c r="AF35" t="str">
        <f t="shared" si="54"/>
        <v>171,265703090588</v>
      </c>
      <c r="AG35" t="str">
        <f t="shared" si="55"/>
        <v>1+0,366859776385183i</v>
      </c>
      <c r="AH35">
        <f t="shared" si="75"/>
        <v>1.0651695149267963</v>
      </c>
      <c r="AI35">
        <f t="shared" si="76"/>
        <v>0.35161500741974255</v>
      </c>
      <c r="AJ35" t="str">
        <f t="shared" si="56"/>
        <v>1+0,00464675604613228i</v>
      </c>
      <c r="AK35">
        <f t="shared" si="77"/>
        <v>1.0000107961125981</v>
      </c>
      <c r="AL35">
        <f t="shared" si="78"/>
        <v>4.6467226017840348E-3</v>
      </c>
      <c r="AM35" t="str">
        <f t="shared" si="57"/>
        <v>1-0,000116839019862303i</v>
      </c>
      <c r="AN35">
        <f t="shared" si="79"/>
        <v>1.0000000068256782</v>
      </c>
      <c r="AO35">
        <f t="shared" si="80"/>
        <v>-1.1683901933063263E-4</v>
      </c>
      <c r="AP35" s="41" t="str">
        <f t="shared" si="81"/>
        <v>151,200877298872-54,6937006106617i</v>
      </c>
      <c r="AQ35">
        <f t="shared" si="82"/>
        <v>44.125127298999715</v>
      </c>
      <c r="AR35" s="43">
        <f t="shared" si="83"/>
        <v>-19.886512727652249</v>
      </c>
      <c r="AS35" t="str">
        <f t="shared" si="58"/>
        <v>-0,0000166666666666667</v>
      </c>
      <c r="AT35" t="str">
        <f t="shared" si="59"/>
        <v>3,07986990737648E-07i</v>
      </c>
      <c r="AU35">
        <f t="shared" si="84"/>
        <v>3.0798699073764799E-7</v>
      </c>
      <c r="AV35">
        <f t="shared" si="85"/>
        <v>1.5707963267948966</v>
      </c>
      <c r="AW35" t="str">
        <f t="shared" si="60"/>
        <v>1+0,000103647618264966i</v>
      </c>
      <c r="AX35">
        <f t="shared" si="86"/>
        <v>1.0000000053714144</v>
      </c>
      <c r="AY35">
        <f t="shared" si="87"/>
        <v>1.036476178938098E-4</v>
      </c>
      <c r="AZ35" t="str">
        <f t="shared" si="61"/>
        <v>1+0,0245348719235784i</v>
      </c>
      <c r="BA35">
        <f t="shared" si="88"/>
        <v>1.0003009346893097</v>
      </c>
      <c r="BB35">
        <f t="shared" si="89"/>
        <v>2.4529950697538539E-2</v>
      </c>
      <c r="BC35" s="41" t="str">
        <f t="shared" si="90"/>
        <v>-1,32209177538845+54,1149768395043i</v>
      </c>
      <c r="BD35">
        <f t="shared" si="91"/>
        <v>34.668940989117061</v>
      </c>
      <c r="BE35" s="43">
        <f t="shared" si="92"/>
        <v>91.399524075571037</v>
      </c>
      <c r="BF35" s="41" t="str">
        <f t="shared" si="93"/>
        <v>888,346089280209+2627,04198804196i</v>
      </c>
      <c r="BG35" s="20">
        <f t="shared" si="94"/>
        <v>68.859550497994363</v>
      </c>
      <c r="BH35" s="43">
        <f t="shared" si="95"/>
        <v>71.316802156680666</v>
      </c>
      <c r="BI35" s="41" t="str">
        <f t="shared" si="96"/>
        <v>2759,84690550438+8254,5420648841i</v>
      </c>
      <c r="BJ35" s="20">
        <f t="shared" si="97"/>
        <v>78.794068288116776</v>
      </c>
      <c r="BK35" s="43">
        <f t="shared" si="98"/>
        <v>71.513011347918805</v>
      </c>
      <c r="BL35">
        <f t="shared" si="99"/>
        <v>68.859550497994363</v>
      </c>
      <c r="BM35" s="43">
        <f t="shared" si="100"/>
        <v>71.316802156680666</v>
      </c>
    </row>
    <row r="36" spans="1:65" x14ac:dyDescent="0.25">
      <c r="A36" t="s">
        <v>496</v>
      </c>
      <c r="B36">
        <f>2+((VOUT*((VIN_var/VOUT)^2))/(IOUT_VAR*R_cs*Acs))*((1/Km)+(Kex/(VIN_var/VOUT)))</f>
        <v>2.2372065488494872</v>
      </c>
      <c r="E36" t="s">
        <v>497</v>
      </c>
      <c r="N36" s="9">
        <v>18</v>
      </c>
      <c r="O36" s="34">
        <f t="shared" si="62"/>
        <v>15.135612484362087</v>
      </c>
      <c r="P36" s="33" t="str">
        <f t="shared" si="50"/>
        <v>54,631621870174</v>
      </c>
      <c r="Q36" s="4" t="str">
        <f t="shared" si="63"/>
        <v>1+0,379032384856691i</v>
      </c>
      <c r="R36" s="4">
        <f t="shared" si="64"/>
        <v>1.0694229980555641</v>
      </c>
      <c r="S36" s="4">
        <f t="shared" si="65"/>
        <v>0.3623012165998753</v>
      </c>
      <c r="T36" s="4" t="str">
        <f t="shared" si="51"/>
        <v>1+0,00475499289884539i</v>
      </c>
      <c r="U36" s="4">
        <f t="shared" si="66"/>
        <v>1.0000113049148336</v>
      </c>
      <c r="V36" s="4">
        <f t="shared" si="67"/>
        <v>4.7549570626024742E-3</v>
      </c>
      <c r="W36" t="str">
        <f t="shared" si="52"/>
        <v>1-0,000378434558808934i</v>
      </c>
      <c r="X36" s="4">
        <f t="shared" si="68"/>
        <v>1.0000000716063551</v>
      </c>
      <c r="Y36" s="4">
        <f t="shared" si="69"/>
        <v>-3.7843454074338863E-4</v>
      </c>
      <c r="Z36" t="str">
        <f t="shared" si="53"/>
        <v>0,999999999083653+0,0000519938475855056i</v>
      </c>
      <c r="AA36" s="4">
        <f t="shared" si="70"/>
        <v>1.0000000004353331</v>
      </c>
      <c r="AB36" s="4">
        <f t="shared" si="71"/>
        <v>5.1993847586297306E-5</v>
      </c>
      <c r="AC36" s="47" t="str">
        <f t="shared" si="72"/>
        <v>47,8472766715951-17,899409419164i</v>
      </c>
      <c r="AD36" s="20">
        <f t="shared" si="73"/>
        <v>34.165990298091842</v>
      </c>
      <c r="AE36" s="43">
        <f t="shared" si="74"/>
        <v>-20.510553382208794</v>
      </c>
      <c r="AF36" t="str">
        <f t="shared" si="54"/>
        <v>171,265703090588</v>
      </c>
      <c r="AG36" t="str">
        <f t="shared" si="55"/>
        <v>1+0,375405038324642i</v>
      </c>
      <c r="AH36">
        <f t="shared" si="75"/>
        <v>1.0681427539423398</v>
      </c>
      <c r="AI36">
        <f t="shared" si="76"/>
        <v>0.35912572506822404</v>
      </c>
      <c r="AJ36" t="str">
        <f t="shared" si="56"/>
        <v>1+0,00475499289884539i</v>
      </c>
      <c r="AK36">
        <f t="shared" si="77"/>
        <v>1.0000113049148336</v>
      </c>
      <c r="AL36">
        <f t="shared" si="78"/>
        <v>4.7549570626024742E-3</v>
      </c>
      <c r="AM36" t="str">
        <f t="shared" si="57"/>
        <v>1-0,000119560550250047i</v>
      </c>
      <c r="AN36">
        <f t="shared" si="79"/>
        <v>1.0000000071473625</v>
      </c>
      <c r="AO36">
        <f t="shared" si="80"/>
        <v>-1.1956054968035194E-4</v>
      </c>
      <c r="AP36" s="41" t="str">
        <f t="shared" si="81"/>
        <v>150,372056089256-55,6565368988315i</v>
      </c>
      <c r="AQ36">
        <f t="shared" si="82"/>
        <v>44.100920317071797</v>
      </c>
      <c r="AR36" s="43">
        <f t="shared" si="83"/>
        <v>-20.310799704424749</v>
      </c>
      <c r="AS36" t="str">
        <f t="shared" si="58"/>
        <v>-0,0000166666666666667</v>
      </c>
      <c r="AT36" t="str">
        <f t="shared" si="59"/>
        <v>3,15160929335472E-07i</v>
      </c>
      <c r="AU36">
        <f t="shared" si="84"/>
        <v>3.1516092933547201E-7</v>
      </c>
      <c r="AV36">
        <f t="shared" si="85"/>
        <v>1.5707963267948966</v>
      </c>
      <c r="AW36" t="str">
        <f t="shared" si="60"/>
        <v>1+0,000106061881437131i</v>
      </c>
      <c r="AX36">
        <f t="shared" si="86"/>
        <v>1.0000000056245613</v>
      </c>
      <c r="AY36">
        <f t="shared" si="87"/>
        <v>1.0606188103942997E-4</v>
      </c>
      <c r="AZ36" t="str">
        <f t="shared" si="61"/>
        <v>1+0,0251063625059036i</v>
      </c>
      <c r="BA36">
        <f t="shared" si="88"/>
        <v>1.0003151150703851</v>
      </c>
      <c r="BB36">
        <f t="shared" si="89"/>
        <v>2.5101089406908517E-2</v>
      </c>
      <c r="BC36" s="41" t="str">
        <f t="shared" si="90"/>
        <v>-1,32209177471909+52,8831758898241i</v>
      </c>
      <c r="BD36">
        <f t="shared" si="91"/>
        <v>34.46906411821579</v>
      </c>
      <c r="BE36" s="43">
        <f t="shared" si="92"/>
        <v>91.432109586045613</v>
      </c>
      <c r="BF36" s="41" t="str">
        <f t="shared" si="93"/>
        <v>883,3191257074+2553,98061003845i</v>
      </c>
      <c r="BG36" s="20">
        <f t="shared" si="94"/>
        <v>68.635054416307653</v>
      </c>
      <c r="BH36" s="43">
        <f t="shared" si="95"/>
        <v>70.921556203836843</v>
      </c>
      <c r="BI36" s="41" t="str">
        <f t="shared" si="96"/>
        <v>2744,48877173619+8025,73494072592i</v>
      </c>
      <c r="BJ36" s="20">
        <f t="shared" si="97"/>
        <v>78.569984435287594</v>
      </c>
      <c r="BK36" s="43">
        <f t="shared" si="98"/>
        <v>71.121309881620874</v>
      </c>
      <c r="BL36">
        <f t="shared" si="99"/>
        <v>68.635054416307653</v>
      </c>
      <c r="BM36" s="43">
        <f t="shared" si="100"/>
        <v>70.921556203836843</v>
      </c>
    </row>
    <row r="37" spans="1:65" x14ac:dyDescent="0.25">
      <c r="N37" s="9">
        <v>19</v>
      </c>
      <c r="O37" s="34">
        <f t="shared" si="62"/>
        <v>15.488166189124817</v>
      </c>
      <c r="P37" s="33" t="str">
        <f t="shared" si="50"/>
        <v>54,631621870174</v>
      </c>
      <c r="Q37" s="4" t="str">
        <f t="shared" si="63"/>
        <v>1+0,387861183271314i</v>
      </c>
      <c r="R37" s="4">
        <f t="shared" si="64"/>
        <v>1.0725839349387181</v>
      </c>
      <c r="S37" s="4">
        <f t="shared" si="65"/>
        <v>0.36999828031919735</v>
      </c>
      <c r="T37" s="4" t="str">
        <f t="shared" si="51"/>
        <v>1+0,00486575091173324i</v>
      </c>
      <c r="U37" s="4">
        <f t="shared" si="66"/>
        <v>1.000011837695902</v>
      </c>
      <c r="V37" s="4">
        <f t="shared" si="67"/>
        <v>4.8657125125316789E-3</v>
      </c>
      <c r="W37" t="str">
        <f t="shared" si="52"/>
        <v>1-0,000387249432066041i</v>
      </c>
      <c r="X37" s="4">
        <f t="shared" si="68"/>
        <v>1.0000000749810585</v>
      </c>
      <c r="Y37" s="4">
        <f t="shared" si="69"/>
        <v>-3.8724941270846044E-4</v>
      </c>
      <c r="Z37" t="str">
        <f t="shared" si="53"/>
        <v>0,999999999040467+0,0000532049398759615i</v>
      </c>
      <c r="AA37" s="4">
        <f t="shared" si="70"/>
        <v>1.0000000004558496</v>
      </c>
      <c r="AB37" s="4">
        <f t="shared" si="71"/>
        <v>5.3204939876809817E-5</v>
      </c>
      <c r="AC37" s="47" t="str">
        <f t="shared" si="72"/>
        <v>47,5693505148086-18,2085434568284i</v>
      </c>
      <c r="AD37" s="20">
        <f t="shared" si="73"/>
        <v>34.140359586050067</v>
      </c>
      <c r="AE37" s="43">
        <f t="shared" si="74"/>
        <v>-20.945791273567608</v>
      </c>
      <c r="AF37" t="str">
        <f t="shared" si="54"/>
        <v>171,265703090588</v>
      </c>
      <c r="AG37" t="str">
        <f t="shared" si="55"/>
        <v>1+0,384149344984494i</v>
      </c>
      <c r="AH37">
        <f t="shared" si="75"/>
        <v>1.0712472726929183</v>
      </c>
      <c r="AI37">
        <f t="shared" si="76"/>
        <v>0.36676778746006372</v>
      </c>
      <c r="AJ37" t="str">
        <f t="shared" si="56"/>
        <v>1+0,00486575091173324i</v>
      </c>
      <c r="AK37">
        <f t="shared" si="77"/>
        <v>1.000011837695902</v>
      </c>
      <c r="AL37">
        <f t="shared" si="78"/>
        <v>4.8657125125316789E-3</v>
      </c>
      <c r="AM37" t="str">
        <f t="shared" si="57"/>
        <v>1-0,000122345473224104i</v>
      </c>
      <c r="AN37">
        <f t="shared" si="79"/>
        <v>1.0000000074842073</v>
      </c>
      <c r="AO37">
        <f t="shared" si="80"/>
        <v>-1.2234547261366472E-4</v>
      </c>
      <c r="AP37" s="41" t="str">
        <f t="shared" si="81"/>
        <v>149,513993723128-56,6233200872854i</v>
      </c>
      <c r="AQ37">
        <f t="shared" si="82"/>
        <v>44.075716335971798</v>
      </c>
      <c r="AR37" s="43">
        <f t="shared" si="83"/>
        <v>-20.742471370744088</v>
      </c>
      <c r="AS37" t="str">
        <f t="shared" si="58"/>
        <v>-0,0000166666666666667</v>
      </c>
      <c r="AT37" t="str">
        <f t="shared" si="59"/>
        <v>3,22501970429679E-07i</v>
      </c>
      <c r="AU37">
        <f t="shared" si="84"/>
        <v>3.2250197042967899E-7</v>
      </c>
      <c r="AV37">
        <f t="shared" si="85"/>
        <v>1.5707963267948966</v>
      </c>
      <c r="AW37" t="str">
        <f t="shared" si="60"/>
        <v>1+0,000108532380022728i</v>
      </c>
      <c r="AX37">
        <f t="shared" si="86"/>
        <v>1.0000000058896388</v>
      </c>
      <c r="AY37">
        <f t="shared" si="87"/>
        <v>1.0853237959658367E-4</v>
      </c>
      <c r="AZ37" t="str">
        <f t="shared" si="61"/>
        <v>1+0,0256911648139515i</v>
      </c>
      <c r="BA37">
        <f t="shared" si="88"/>
        <v>1.0003299635367811</v>
      </c>
      <c r="BB37">
        <f t="shared" si="89"/>
        <v>2.5685514687234262E-2</v>
      </c>
      <c r="BC37" s="41" t="str">
        <f t="shared" si="90"/>
        <v>-1,32209177401818+51,6794142999923i</v>
      </c>
      <c r="BD37">
        <f t="shared" si="91"/>
        <v>34.269193046468601</v>
      </c>
      <c r="BE37" s="43">
        <f t="shared" si="92"/>
        <v>91.465453138908416</v>
      </c>
      <c r="BF37" s="41" t="str">
        <f t="shared" si="93"/>
        <v>878,115814093833+2482,42953875747i</v>
      </c>
      <c r="BG37" s="20">
        <f t="shared" si="94"/>
        <v>68.409552632518668</v>
      </c>
      <c r="BH37" s="43">
        <f t="shared" si="95"/>
        <v>70.519661865340794</v>
      </c>
      <c r="BI37" s="41" t="str">
        <f t="shared" si="96"/>
        <v>2728,58879662995+7801,65685096898i</v>
      </c>
      <c r="BJ37" s="20">
        <f t="shared" si="97"/>
        <v>78.344909382440406</v>
      </c>
      <c r="BK37" s="43">
        <f t="shared" si="98"/>
        <v>70.722981768164288</v>
      </c>
      <c r="BL37">
        <f t="shared" si="99"/>
        <v>68.409552632518668</v>
      </c>
      <c r="BM37" s="43">
        <f t="shared" si="100"/>
        <v>70.519661865340794</v>
      </c>
    </row>
    <row r="38" spans="1:65" x14ac:dyDescent="0.25">
      <c r="A38" t="s">
        <v>200</v>
      </c>
      <c r="B38" s="16">
        <f>(Gcomp*(VIN_var/VOUT)*(VOUT/IOUT))/(Kd*R_cs*Acs/Np)</f>
        <v>54.631621870174037</v>
      </c>
      <c r="C38" t="s">
        <v>150</v>
      </c>
      <c r="E38" t="s">
        <v>204</v>
      </c>
      <c r="N38" s="9">
        <v>20</v>
      </c>
      <c r="O38" s="34">
        <f t="shared" si="62"/>
        <v>15.848931924611136</v>
      </c>
      <c r="P38" s="33" t="str">
        <f t="shared" si="50"/>
        <v>54,631621870174</v>
      </c>
      <c r="Q38" s="4" t="str">
        <f t="shared" si="63"/>
        <v>1+0,396895630819256i</v>
      </c>
      <c r="R38" s="4">
        <f t="shared" si="64"/>
        <v>1.0758838886066726</v>
      </c>
      <c r="S38" s="4">
        <f t="shared" si="65"/>
        <v>0.37782733534714374</v>
      </c>
      <c r="T38" s="4" t="str">
        <f t="shared" si="51"/>
        <v>1+0,00497908881016031i</v>
      </c>
      <c r="U38" s="4">
        <f t="shared" si="66"/>
        <v>1.0000123955858644</v>
      </c>
      <c r="V38" s="4">
        <f t="shared" si="67"/>
        <v>4.9790476647020767E-3</v>
      </c>
      <c r="W38" t="str">
        <f t="shared" si="52"/>
        <v>1-0,000396269630097882i</v>
      </c>
      <c r="X38" s="4">
        <f t="shared" si="68"/>
        <v>1.0000000785148069</v>
      </c>
      <c r="Y38" s="4">
        <f t="shared" si="69"/>
        <v>-3.9626960935586084E-4</v>
      </c>
      <c r="Z38" t="str">
        <f t="shared" si="53"/>
        <v>0,999999998995245+0,0000544442421297903i</v>
      </c>
      <c r="AA38" s="4">
        <f t="shared" si="70"/>
        <v>1.0000000004773328</v>
      </c>
      <c r="AB38" s="4">
        <f t="shared" si="71"/>
        <v>5.444424213069933E-5</v>
      </c>
      <c r="AC38" s="47" t="str">
        <f t="shared" si="72"/>
        <v>47,2818109223755-18,5185517113739i</v>
      </c>
      <c r="AD38" s="20">
        <f t="shared" si="73"/>
        <v>34.113682139548978</v>
      </c>
      <c r="AE38" s="43">
        <f t="shared" si="74"/>
        <v>-21.388457284341762</v>
      </c>
      <c r="AF38" t="str">
        <f t="shared" si="54"/>
        <v>171,265703090588</v>
      </c>
      <c r="AG38" t="str">
        <f t="shared" si="55"/>
        <v>1+0,393097332711875i</v>
      </c>
      <c r="AH38">
        <f t="shared" si="75"/>
        <v>1.0744884889961319</v>
      </c>
      <c r="AI38">
        <f t="shared" si="76"/>
        <v>0.37454167507001551</v>
      </c>
      <c r="AJ38" t="str">
        <f t="shared" si="56"/>
        <v>1+0,00497908881016031i</v>
      </c>
      <c r="AK38">
        <f t="shared" si="77"/>
        <v>1.0000123955858644</v>
      </c>
      <c r="AL38">
        <f t="shared" si="78"/>
        <v>4.9790476647020767E-3</v>
      </c>
      <c r="AM38" t="str">
        <f t="shared" si="57"/>
        <v>1-0,000125195265387498i</v>
      </c>
      <c r="AN38">
        <f t="shared" si="79"/>
        <v>1.0000000078369271</v>
      </c>
      <c r="AO38">
        <f t="shared" si="80"/>
        <v>-1.2519526473340055E-4</v>
      </c>
      <c r="AP38" s="41" t="str">
        <f t="shared" si="81"/>
        <v>148,626073561482-57,5932075977853i</v>
      </c>
      <c r="AQ38">
        <f t="shared" si="82"/>
        <v>44.04948042480121</v>
      </c>
      <c r="AR38" s="43">
        <f t="shared" si="83"/>
        <v>-21.181551976374539</v>
      </c>
      <c r="AS38" t="str">
        <f t="shared" si="58"/>
        <v>-0,0000166666666666667</v>
      </c>
      <c r="AT38" t="str">
        <f t="shared" si="59"/>
        <v>3,30014006337425E-07i</v>
      </c>
      <c r="AU38">
        <f t="shared" si="84"/>
        <v>3.30014006337425E-7</v>
      </c>
      <c r="AV38">
        <f t="shared" si="85"/>
        <v>1.5707963267948966</v>
      </c>
      <c r="AW38" t="str">
        <f t="shared" si="60"/>
        <v>1+0,000111060423912809i</v>
      </c>
      <c r="AX38">
        <f t="shared" si="86"/>
        <v>1.0000000061672087</v>
      </c>
      <c r="AY38">
        <f t="shared" si="87"/>
        <v>1.1106042345618712E-4</v>
      </c>
      <c r="AZ38" t="str">
        <f t="shared" si="61"/>
        <v>1+0,0262895889176464i</v>
      </c>
      <c r="BA38">
        <f t="shared" si="88"/>
        <v>1.0003455115536126</v>
      </c>
      <c r="BB38">
        <f t="shared" si="89"/>
        <v>2.6283534810723059E-2</v>
      </c>
      <c r="BC38" s="41" t="str">
        <f t="shared" si="90"/>
        <v>-1,32209177328423+50,5030538196803i</v>
      </c>
      <c r="BD38">
        <f t="shared" si="91"/>
        <v>34.069328046820452</v>
      </c>
      <c r="BE38" s="43">
        <f t="shared" si="92"/>
        <v>91.499572321804635</v>
      </c>
      <c r="BF38" s="41" t="str">
        <f t="shared" si="93"/>
        <v>872,732520495596+2412,35906657542i</v>
      </c>
      <c r="BG38" s="20">
        <f t="shared" si="94"/>
        <v>68.18301018636943</v>
      </c>
      <c r="BH38" s="43">
        <f t="shared" si="95"/>
        <v>70.111115037462852</v>
      </c>
      <c r="BI38" s="41" t="str">
        <f t="shared" si="96"/>
        <v>2712,1355538078+7582,21409804537i</v>
      </c>
      <c r="BJ38" s="20">
        <f t="shared" si="97"/>
        <v>78.118808471621662</v>
      </c>
      <c r="BK38" s="43">
        <f t="shared" si="98"/>
        <v>70.318020345430099</v>
      </c>
      <c r="BL38">
        <f t="shared" si="99"/>
        <v>68.18301018636943</v>
      </c>
      <c r="BM38" s="43">
        <f t="shared" si="100"/>
        <v>70.111115037462852</v>
      </c>
    </row>
    <row r="39" spans="1:65" x14ac:dyDescent="0.25">
      <c r="A39" t="s">
        <v>217</v>
      </c>
      <c r="B39" s="18">
        <f>Kd/(Cout*(VOUT/IOUT_VAR))</f>
        <v>250.90166902984905</v>
      </c>
      <c r="C39" t="s">
        <v>216</v>
      </c>
      <c r="E39" t="s">
        <v>207</v>
      </c>
      <c r="N39" s="9">
        <v>21</v>
      </c>
      <c r="O39" s="34">
        <f t="shared" si="62"/>
        <v>16.218100973589298</v>
      </c>
      <c r="P39" s="33" t="str">
        <f t="shared" si="50"/>
        <v>54,631621870174</v>
      </c>
      <c r="Q39" s="4" t="str">
        <f t="shared" si="63"/>
        <v>1+0,406140517684193i</v>
      </c>
      <c r="R39" s="4">
        <f t="shared" si="64"/>
        <v>1.0793285505835488</v>
      </c>
      <c r="S39" s="4">
        <f t="shared" si="65"/>
        <v>0.38578869272482114</v>
      </c>
      <c r="T39" s="4" t="str">
        <f t="shared" si="51"/>
        <v>1+0,00509506668738055i</v>
      </c>
      <c r="U39" s="4">
        <f t="shared" si="66"/>
        <v>1.0000129797680373</v>
      </c>
      <c r="V39" s="4">
        <f t="shared" si="67"/>
        <v>5.095022599258636E-3</v>
      </c>
      <c r="W39" t="str">
        <f t="shared" si="52"/>
        <v>1-0,000405499935532848i</v>
      </c>
      <c r="X39" s="4">
        <f t="shared" si="68"/>
        <v>1.0000000822150954</v>
      </c>
      <c r="Y39" s="4">
        <f t="shared" si="69"/>
        <v>-4.0549991330737198E-4</v>
      </c>
      <c r="Z39" t="str">
        <f t="shared" si="53"/>
        <v>0,999999998947893+0,0000557124114414508i</v>
      </c>
      <c r="AA39" s="4">
        <f t="shared" si="70"/>
        <v>1.0000000004998293</v>
      </c>
      <c r="AB39" s="4">
        <f t="shared" si="71"/>
        <v>5.5712411442424806E-5</v>
      </c>
      <c r="AC39" s="47" t="str">
        <f t="shared" si="72"/>
        <v>46,9844712229627-18,8291424942966i</v>
      </c>
      <c r="AD39" s="20">
        <f t="shared" si="73"/>
        <v>34.085922020478179</v>
      </c>
      <c r="AE39" s="43">
        <f t="shared" si="74"/>
        <v>-21.838566105207939</v>
      </c>
      <c r="AF39" t="str">
        <f t="shared" si="54"/>
        <v>171,265703090588</v>
      </c>
      <c r="AG39" t="str">
        <f t="shared" si="55"/>
        <v>1+0,402253745848316i</v>
      </c>
      <c r="AH39">
        <f t="shared" si="75"/>
        <v>1.0778720128331571</v>
      </c>
      <c r="AI39">
        <f t="shared" si="76"/>
        <v>0.38244775027807792</v>
      </c>
      <c r="AJ39" t="str">
        <f t="shared" si="56"/>
        <v>1+0,00509506668738055i</v>
      </c>
      <c r="AK39">
        <f t="shared" si="77"/>
        <v>1.0000129797680373</v>
      </c>
      <c r="AL39">
        <f t="shared" si="78"/>
        <v>5.095022599258636E-3</v>
      </c>
      <c r="AM39" t="str">
        <f t="shared" si="57"/>
        <v>1-0,000128111437737755i</v>
      </c>
      <c r="AN39">
        <f t="shared" si="79"/>
        <v>1.0000000082062701</v>
      </c>
      <c r="AO39">
        <f t="shared" si="80"/>
        <v>-1.2811143703687696E-4</v>
      </c>
      <c r="AP39" s="41" t="str">
        <f t="shared" si="81"/>
        <v>147,707700819795-58,5653068623552i</v>
      </c>
      <c r="AQ39">
        <f t="shared" si="82"/>
        <v>44.022176936611991</v>
      </c>
      <c r="AR39" s="43">
        <f t="shared" si="83"/>
        <v>-21.628058928395344</v>
      </c>
      <c r="AS39" t="str">
        <f t="shared" si="58"/>
        <v>-0,0000166666666666667</v>
      </c>
      <c r="AT39" t="str">
        <f t="shared" si="59"/>
        <v>3,37701020039584E-07i</v>
      </c>
      <c r="AU39">
        <f t="shared" si="84"/>
        <v>3.3770102003958397E-7</v>
      </c>
      <c r="AV39">
        <f t="shared" si="85"/>
        <v>1.5707963267948966</v>
      </c>
      <c r="AW39" t="str">
        <f t="shared" si="60"/>
        <v>1+0,000113647353509707i</v>
      </c>
      <c r="AX39">
        <f t="shared" si="86"/>
        <v>1.0000000064578605</v>
      </c>
      <c r="AY39">
        <f t="shared" si="87"/>
        <v>1.1364735302042784E-4</v>
      </c>
      <c r="AZ39" t="str">
        <f t="shared" si="61"/>
        <v>1+0,0269019521093693i</v>
      </c>
      <c r="BA39">
        <f t="shared" si="88"/>
        <v>1.0003617920668975</v>
      </c>
      <c r="BB39">
        <f t="shared" si="89"/>
        <v>2.6895465143630122E-2</v>
      </c>
      <c r="BC39" s="41" t="str">
        <f t="shared" si="90"/>
        <v>-1,32209177251569+49,3534707269903i</v>
      </c>
      <c r="BD39">
        <f t="shared" si="91"/>
        <v>33.869469405045031</v>
      </c>
      <c r="BE39" s="43">
        <f t="shared" si="92"/>
        <v>91.534485127090321</v>
      </c>
      <c r="BF39" s="41" t="str">
        <f t="shared" si="93"/>
        <v>867,165750066717+2343,74057950084i</v>
      </c>
      <c r="BG39" s="20">
        <f t="shared" si="94"/>
        <v>67.955391425523203</v>
      </c>
      <c r="BH39" s="43">
        <f t="shared" si="95"/>
        <v>69.695919021882361</v>
      </c>
      <c r="BI39" s="41" t="str">
        <f t="shared" si="96"/>
        <v>2695,11802185739+7367,31639891837i</v>
      </c>
      <c r="BJ39" s="20">
        <f t="shared" si="97"/>
        <v>77.891646341657022</v>
      </c>
      <c r="BK39" s="43">
        <f t="shared" si="98"/>
        <v>69.906426198694987</v>
      </c>
      <c r="BL39">
        <f t="shared" si="99"/>
        <v>67.955391425523203</v>
      </c>
      <c r="BM39" s="43">
        <f t="shared" si="100"/>
        <v>69.695919021882361</v>
      </c>
    </row>
    <row r="40" spans="1:65" x14ac:dyDescent="0.25">
      <c r="B40" s="17">
        <f>wp_lf/(2*PI())</f>
        <v>39.932240856107185</v>
      </c>
      <c r="C40" t="s">
        <v>65</v>
      </c>
      <c r="N40" s="9">
        <v>22</v>
      </c>
      <c r="O40" s="34">
        <f t="shared" si="62"/>
        <v>16.595869074375614</v>
      </c>
      <c r="P40" s="33" t="str">
        <f t="shared" si="50"/>
        <v>54,631621870174</v>
      </c>
      <c r="Q40" s="4" t="str">
        <f t="shared" si="63"/>
        <v>1+0,415600745627514i</v>
      </c>
      <c r="R40" s="4">
        <f t="shared" si="64"/>
        <v>1.0829238106931371</v>
      </c>
      <c r="S40" s="4">
        <f t="shared" si="65"/>
        <v>0.39388253569899945</v>
      </c>
      <c r="T40" s="4" t="str">
        <f t="shared" si="51"/>
        <v>1+0,00521374603639965i</v>
      </c>
      <c r="U40" s="4">
        <f t="shared" si="66"/>
        <v>1.0000135914815018</v>
      </c>
      <c r="V40" s="4">
        <f t="shared" si="67"/>
        <v>5.2136987951605651E-3</v>
      </c>
      <c r="W40" t="str">
        <f t="shared" si="52"/>
        <v>1-0,000414945242401062i</v>
      </c>
      <c r="X40" s="4">
        <f t="shared" si="68"/>
        <v>1.0000000860897733</v>
      </c>
      <c r="Y40" s="4">
        <f t="shared" si="69"/>
        <v>-4.1494521858603551E-4</v>
      </c>
      <c r="Z40" t="str">
        <f t="shared" si="53"/>
        <v>0,999999998898308+0,000057010120211099i</v>
      </c>
      <c r="AA40" s="4">
        <f t="shared" si="70"/>
        <v>1.0000000005233849</v>
      </c>
      <c r="AB40" s="4">
        <f t="shared" si="71"/>
        <v>5.7010120212142701E-5</v>
      </c>
      <c r="AC40" s="47" t="str">
        <f t="shared" si="72"/>
        <v>46,6771532921586-19,1400080042111i</v>
      </c>
      <c r="AD40" s="20">
        <f t="shared" si="73"/>
        <v>34.057042615408996</v>
      </c>
      <c r="AE40" s="43">
        <f t="shared" si="74"/>
        <v>-22.296125031880319</v>
      </c>
      <c r="AF40" t="str">
        <f t="shared" si="54"/>
        <v>171,265703090588</v>
      </c>
      <c r="AG40" t="str">
        <f t="shared" si="55"/>
        <v>1+0,411623439245267i</v>
      </c>
      <c r="AH40">
        <f t="shared" si="75"/>
        <v>1.0814036506948281</v>
      </c>
      <c r="AI40">
        <f t="shared" si="76"/>
        <v>0.39048625053632446</v>
      </c>
      <c r="AJ40" t="str">
        <f t="shared" si="56"/>
        <v>1+0,00521374603639965i</v>
      </c>
      <c r="AK40">
        <f t="shared" si="77"/>
        <v>1.0000135914815018</v>
      </c>
      <c r="AL40">
        <f t="shared" si="78"/>
        <v>5.2136987951605651E-3</v>
      </c>
      <c r="AM40" t="str">
        <f t="shared" si="57"/>
        <v>1-0,000131095536468058i</v>
      </c>
      <c r="AN40">
        <f t="shared" si="79"/>
        <v>1.0000000085930199</v>
      </c>
      <c r="AO40">
        <f t="shared" si="80"/>
        <v>-1.3109553571705366E-4</v>
      </c>
      <c r="AP40" s="41" t="str">
        <f t="shared" si="81"/>
        <v>146,75830600233-59,5386749430539i</v>
      </c>
      <c r="AQ40">
        <f t="shared" si="82"/>
        <v>43.993769536282983</v>
      </c>
      <c r="AR40" s="43">
        <f t="shared" si="83"/>
        <v>-22.082002397913929</v>
      </c>
      <c r="AS40" t="str">
        <f t="shared" si="58"/>
        <v>-0,0000166666666666667</v>
      </c>
      <c r="AT40" t="str">
        <f t="shared" si="59"/>
        <v>3,45567087292569E-07i</v>
      </c>
      <c r="AU40">
        <f t="shared" si="84"/>
        <v>3.45567087292569E-7</v>
      </c>
      <c r="AV40">
        <f t="shared" si="85"/>
        <v>1.5707963267948966</v>
      </c>
      <c r="AW40" t="str">
        <f t="shared" si="60"/>
        <v>1+0,000116294540437737i</v>
      </c>
      <c r="AX40">
        <f t="shared" si="86"/>
        <v>1.0000000067622099</v>
      </c>
      <c r="AY40">
        <f t="shared" si="87"/>
        <v>1.1629453991346492E-4</v>
      </c>
      <c r="AZ40" t="str">
        <f t="shared" si="61"/>
        <v>1+0,0275285790721901i</v>
      </c>
      <c r="BA40">
        <f t="shared" si="88"/>
        <v>1.0003788395731559</v>
      </c>
      <c r="BB40">
        <f t="shared" si="89"/>
        <v>2.7521628305326902E-2</v>
      </c>
      <c r="BC40" s="41" t="str">
        <f t="shared" si="90"/>
        <v>-1,32209177171093+48,2300554977503i</v>
      </c>
      <c r="BD40">
        <f t="shared" si="91"/>
        <v>33.669617420346071</v>
      </c>
      <c r="BE40" s="43">
        <f t="shared" si="92"/>
        <v>91.570209960905544</v>
      </c>
      <c r="BF40" s="41" t="str">
        <f t="shared" si="93"/>
        <v>861,412167976034+2276,54654085066i</v>
      </c>
      <c r="BG40" s="20">
        <f t="shared" si="94"/>
        <v>67.726660035755074</v>
      </c>
      <c r="BH40" s="43">
        <f t="shared" si="95"/>
        <v>69.274084929025264</v>
      </c>
      <c r="BI40" s="41" t="str">
        <f t="shared" si="96"/>
        <v>2677,52564797009+7156,87683548898i</v>
      </c>
      <c r="BJ40" s="20">
        <f t="shared" si="97"/>
        <v>77.663386956629068</v>
      </c>
      <c r="BK40" s="43">
        <f t="shared" si="98"/>
        <v>69.488207562991619</v>
      </c>
      <c r="BL40">
        <f t="shared" si="99"/>
        <v>67.726660035755074</v>
      </c>
      <c r="BM40" s="43">
        <f t="shared" si="100"/>
        <v>69.274084929025264</v>
      </c>
    </row>
    <row r="41" spans="1:65" x14ac:dyDescent="0.25">
      <c r="B41" s="1"/>
      <c r="C41" t="s">
        <v>237</v>
      </c>
      <c r="E41" t="s">
        <v>236</v>
      </c>
      <c r="N41" s="9">
        <v>23</v>
      </c>
      <c r="O41" s="34">
        <f t="shared" si="62"/>
        <v>16.982436524617448</v>
      </c>
      <c r="P41" s="33" t="str">
        <f t="shared" si="50"/>
        <v>54,631621870174</v>
      </c>
      <c r="Q41" s="4" t="str">
        <f t="shared" si="63"/>
        <v>1+0,42528133058729i</v>
      </c>
      <c r="R41" s="4">
        <f t="shared" si="64"/>
        <v>1.086675761276608</v>
      </c>
      <c r="S41" s="4">
        <f t="shared" si="65"/>
        <v>0.40210891284534295</v>
      </c>
      <c r="T41" s="4" t="str">
        <f t="shared" si="51"/>
        <v>1+0,0053351897825793i</v>
      </c>
      <c r="U41" s="4">
        <f t="shared" si="66"/>
        <v>1.0000142320237329</v>
      </c>
      <c r="V41" s="4">
        <f t="shared" si="67"/>
        <v>5.3351391627185262E-3</v>
      </c>
      <c r="W41" t="str">
        <f t="shared" si="52"/>
        <v>1-0,000424610558729244i</v>
      </c>
      <c r="X41" s="4">
        <f t="shared" si="68"/>
        <v>1.0000000901470592</v>
      </c>
      <c r="Y41" s="4">
        <f t="shared" si="69"/>
        <v>-4.2461053321098347E-4</v>
      </c>
      <c r="Z41" t="str">
        <f t="shared" si="53"/>
        <v>0,999999998846387+0,0000583380565011007i</v>
      </c>
      <c r="AA41" s="4">
        <f t="shared" si="70"/>
        <v>1.0000000005480514</v>
      </c>
      <c r="AB41" s="4">
        <f t="shared" si="71"/>
        <v>5.8338056502219044E-5</v>
      </c>
      <c r="AC41" s="47" t="str">
        <f t="shared" si="72"/>
        <v>46,3596887170389-19,4508243063374i</v>
      </c>
      <c r="AD41" s="20">
        <f t="shared" si="73"/>
        <v>34.027006669410405</v>
      </c>
      <c r="AE41" s="43">
        <f t="shared" si="74"/>
        <v>-22.761133569405619</v>
      </c>
      <c r="AF41" t="str">
        <f t="shared" si="54"/>
        <v>171,265703090588</v>
      </c>
      <c r="AG41" t="str">
        <f t="shared" si="55"/>
        <v>1+0,421211380838183i</v>
      </c>
      <c r="AH41">
        <f t="shared" si="75"/>
        <v>1.0850894098403177</v>
      </c>
      <c r="AI41">
        <f t="shared" si="76"/>
        <v>0.39865728149856922</v>
      </c>
      <c r="AJ41" t="str">
        <f t="shared" si="56"/>
        <v>1+0,0053351897825793i</v>
      </c>
      <c r="AK41">
        <f t="shared" si="77"/>
        <v>1.0000142320237329</v>
      </c>
      <c r="AL41">
        <f t="shared" si="78"/>
        <v>5.3351391627185262E-3</v>
      </c>
      <c r="AM41" t="str">
        <f t="shared" si="57"/>
        <v>1-0,000134149143787049i</v>
      </c>
      <c r="AN41">
        <f t="shared" si="79"/>
        <v>1.0000000089979963</v>
      </c>
      <c r="AO41">
        <f t="shared" si="80"/>
        <v>-1.3414914298233332E-4</v>
      </c>
      <c r="AP41" s="41" t="str">
        <f t="shared" si="81"/>
        <v>145,777348488948-60,5123183701533i</v>
      </c>
      <c r="AQ41">
        <f t="shared" si="82"/>
        <v>43.964221232550614</v>
      </c>
      <c r="AR41" s="43">
        <f t="shared" si="83"/>
        <v>-22.543384924606261</v>
      </c>
      <c r="AS41" t="str">
        <f t="shared" si="58"/>
        <v>-0,0000166666666666667</v>
      </c>
      <c r="AT41" t="str">
        <f t="shared" si="59"/>
        <v>3,53616378789357E-07i</v>
      </c>
      <c r="AU41">
        <f t="shared" si="84"/>
        <v>3.5361637878935699E-7</v>
      </c>
      <c r="AV41">
        <f t="shared" si="85"/>
        <v>1.5707963267948966</v>
      </c>
      <c r="AW41" t="str">
        <f t="shared" si="60"/>
        <v>1+0,000119003388270447i</v>
      </c>
      <c r="AX41">
        <f t="shared" si="86"/>
        <v>1.0000000070809032</v>
      </c>
      <c r="AY41">
        <f t="shared" si="87"/>
        <v>1.1900338770867936E-4</v>
      </c>
      <c r="AZ41" t="str">
        <f t="shared" si="61"/>
        <v>1+0,0281698020520187i</v>
      </c>
      <c r="BA41">
        <f t="shared" si="88"/>
        <v>1.0003966901922707</v>
      </c>
      <c r="BB41">
        <f t="shared" si="89"/>
        <v>2.816235433063537E-2</v>
      </c>
      <c r="BC41" s="41" t="str">
        <f t="shared" si="90"/>
        <v>-1,32209177086825+47,1322124823354i</v>
      </c>
      <c r="BD41">
        <f t="shared" si="91"/>
        <v>33.469772405986483</v>
      </c>
      <c r="BE41" s="43">
        <f t="shared" si="92"/>
        <v>91.606765652433921</v>
      </c>
      <c r="BF41" s="41" t="str">
        <f t="shared" si="93"/>
        <v>855,468621210057+2210,75047397842i</v>
      </c>
      <c r="BG41" s="20">
        <f t="shared" si="94"/>
        <v>67.496779075396901</v>
      </c>
      <c r="BH41" s="43">
        <f t="shared" si="95"/>
        <v>68.845632083028335</v>
      </c>
      <c r="BI41" s="41" t="str">
        <f t="shared" si="96"/>
        <v>2659,34841440456+6950,81180224589i</v>
      </c>
      <c r="BJ41" s="20">
        <f t="shared" si="97"/>
        <v>77.433993638537103</v>
      </c>
      <c r="BK41" s="43">
        <f t="shared" si="98"/>
        <v>69.063380727827678</v>
      </c>
      <c r="BL41">
        <f t="shared" si="99"/>
        <v>67.496779075396901</v>
      </c>
      <c r="BM41" s="43">
        <f t="shared" si="100"/>
        <v>68.845632083028335</v>
      </c>
    </row>
    <row r="42" spans="1:65" x14ac:dyDescent="0.25">
      <c r="A42" t="s">
        <v>218</v>
      </c>
      <c r="B42" s="18">
        <f>((VOUT/IOUT)*((VIN_var/VOUT)^2))/(Lm)</f>
        <v>251298.02699896158</v>
      </c>
      <c r="C42" t="s">
        <v>216</v>
      </c>
      <c r="E42" t="s">
        <v>208</v>
      </c>
      <c r="N42" s="9">
        <v>24</v>
      </c>
      <c r="O42" s="34">
        <f t="shared" si="62"/>
        <v>17.378008287493756</v>
      </c>
      <c r="P42" s="33" t="str">
        <f t="shared" si="50"/>
        <v>54,631621870174</v>
      </c>
      <c r="Q42" s="4" t="str">
        <f t="shared" si="63"/>
        <v>1+0,43518740533781i</v>
      </c>
      <c r="R42" s="4">
        <f t="shared" si="64"/>
        <v>1.0905907013012055</v>
      </c>
      <c r="S42" s="4">
        <f t="shared" si="65"/>
        <v>0.41046773119961838</v>
      </c>
      <c r="T42" s="4" t="str">
        <f t="shared" si="51"/>
        <v>1+0,0054594623170013i</v>
      </c>
      <c r="U42" s="4">
        <f t="shared" si="66"/>
        <v>1.0000149027533494</v>
      </c>
      <c r="V42" s="4">
        <f t="shared" si="67"/>
        <v>5.459408076886909E-3</v>
      </c>
      <c r="W42" t="str">
        <f t="shared" si="52"/>
        <v>1-0,000434501009196053i</v>
      </c>
      <c r="X42" s="4">
        <f t="shared" si="68"/>
        <v>1.0000000943955589</v>
      </c>
      <c r="Y42" s="4">
        <f t="shared" si="69"/>
        <v>-4.3450098185274434E-4</v>
      </c>
      <c r="Z42" t="str">
        <f t="shared" si="53"/>
        <v>0,999999998792019+0,0000596969244008553i</v>
      </c>
      <c r="AA42" s="4">
        <f t="shared" si="70"/>
        <v>1.0000000005738803</v>
      </c>
      <c r="AB42" s="4">
        <f t="shared" si="71"/>
        <v>5.9696924402053621E-5</v>
      </c>
      <c r="AC42" s="47" t="str">
        <f t="shared" si="72"/>
        <v>46,0319200042583-19,7612513914706i</v>
      </c>
      <c r="AD42" s="20">
        <f t="shared" si="73"/>
        <v>33.995776324260774</v>
      </c>
      <c r="AE42" s="43">
        <f t="shared" si="74"/>
        <v>-23.233583036875903</v>
      </c>
      <c r="AF42" t="str">
        <f t="shared" si="54"/>
        <v>171,265703090588</v>
      </c>
      <c r="AG42" t="str">
        <f t="shared" si="55"/>
        <v>1+0,431022654280614i</v>
      </c>
      <c r="AH42">
        <f t="shared" si="75"/>
        <v>1.088935502453247</v>
      </c>
      <c r="AI42">
        <f t="shared" si="76"/>
        <v>0.40696081014412822</v>
      </c>
      <c r="AJ42" t="str">
        <f t="shared" si="56"/>
        <v>1+0,0054594623170013i</v>
      </c>
      <c r="AK42">
        <f t="shared" si="77"/>
        <v>1.0000149027533494</v>
      </c>
      <c r="AL42">
        <f t="shared" si="78"/>
        <v>5.459408076886909E-3</v>
      </c>
      <c r="AM42" t="str">
        <f t="shared" si="57"/>
        <v>1-0,000137273878757751i</v>
      </c>
      <c r="AN42">
        <f t="shared" si="79"/>
        <v>1.0000000094220589</v>
      </c>
      <c r="AO42">
        <f t="shared" si="80"/>
        <v>-1.3727387789548264E-4</v>
      </c>
      <c r="AP42" s="41" t="str">
        <f t="shared" si="81"/>
        <v>144,764320263481-61,4851932202383i</v>
      </c>
      <c r="AQ42">
        <f t="shared" si="82"/>
        <v>43.933494414364588</v>
      </c>
      <c r="AR42" s="43">
        <f t="shared" si="83"/>
        <v>-23.012201020878948</v>
      </c>
      <c r="AS42" t="str">
        <f t="shared" si="58"/>
        <v>-0,0000166666666666667</v>
      </c>
      <c r="AT42" t="str">
        <f t="shared" si="59"/>
        <v>3,61853162370846E-07i</v>
      </c>
      <c r="AU42">
        <f t="shared" si="84"/>
        <v>3.6185316237084602E-7</v>
      </c>
      <c r="AV42">
        <f t="shared" si="85"/>
        <v>1.5707963267948966</v>
      </c>
      <c r="AW42" t="str">
        <f t="shared" si="60"/>
        <v>1+0,000121775333274815i</v>
      </c>
      <c r="AX42">
        <f t="shared" si="86"/>
        <v>1.0000000074146158</v>
      </c>
      <c r="AY42">
        <f t="shared" si="87"/>
        <v>1.2177533267287013E-4</v>
      </c>
      <c r="AZ42" t="str">
        <f t="shared" si="61"/>
        <v>1+0,0288259610337669i</v>
      </c>
      <c r="BA42">
        <f t="shared" si="88"/>
        <v>1.0004153817437635</v>
      </c>
      <c r="BB42">
        <f t="shared" si="89"/>
        <v>2.8817980835473638E-2</v>
      </c>
      <c r="BC42" s="41" t="str">
        <f t="shared" si="90"/>
        <v>-1,32209176998586+46,0593595898473i</v>
      </c>
      <c r="BD42">
        <f t="shared" si="91"/>
        <v>33.269934689947043</v>
      </c>
      <c r="BE42" s="43">
        <f t="shared" si="92"/>
        <v>91.64417146335056</v>
      </c>
      <c r="BF42" s="41" t="str">
        <f t="shared" si="93"/>
        <v>849,332161190837+2146,3269439165i</v>
      </c>
      <c r="BG42" s="20">
        <f t="shared" si="94"/>
        <v>67.26571101420781</v>
      </c>
      <c r="BH42" s="43">
        <f t="shared" si="95"/>
        <v>68.410588426474646</v>
      </c>
      <c r="BI42" s="41" t="str">
        <f t="shared" si="96"/>
        <v>2640,57690757425+6749,04095072796i</v>
      </c>
      <c r="BJ42" s="20">
        <f t="shared" si="97"/>
        <v>77.203429104311624</v>
      </c>
      <c r="BK42" s="43">
        <f t="shared" si="98"/>
        <v>68.631970442471641</v>
      </c>
      <c r="BL42">
        <f t="shared" si="99"/>
        <v>67.26571101420781</v>
      </c>
      <c r="BM42" s="43">
        <f t="shared" si="100"/>
        <v>68.410588426474646</v>
      </c>
    </row>
    <row r="43" spans="1:65" x14ac:dyDescent="0.25">
      <c r="B43" s="1">
        <f>wz_rhp/(2*PI())</f>
        <v>39995.323186125308</v>
      </c>
      <c r="C43" t="s">
        <v>65</v>
      </c>
      <c r="N43" s="9">
        <v>25</v>
      </c>
      <c r="O43" s="34">
        <f t="shared" si="62"/>
        <v>17.782794100389236</v>
      </c>
      <c r="P43" s="33" t="str">
        <f t="shared" si="50"/>
        <v>54,631621870174</v>
      </c>
      <c r="Q43" s="4" t="str">
        <f t="shared" si="63"/>
        <v>1+0,445324222211023i</v>
      </c>
      <c r="R43" s="4">
        <f t="shared" si="64"/>
        <v>1.094675140344318</v>
      </c>
      <c r="S43" s="4">
        <f t="shared" si="65"/>
        <v>0.4189587494321706</v>
      </c>
      <c r="T43" s="4" t="str">
        <f t="shared" si="51"/>
        <v>1+0,00558662953060825i</v>
      </c>
      <c r="U43" s="4">
        <f t="shared" si="66"/>
        <v>1.0000156050929967</v>
      </c>
      <c r="V43" s="4">
        <f t="shared" si="67"/>
        <v>5.5865714113275443E-3</v>
      </c>
      <c r="W43" t="str">
        <f t="shared" si="52"/>
        <v>1-0,000444621837849234i</v>
      </c>
      <c r="X43" s="4">
        <f t="shared" si="68"/>
        <v>1.0000000988442843</v>
      </c>
      <c r="Y43" s="4">
        <f t="shared" si="69"/>
        <v>-4.4462180855035105E-4</v>
      </c>
      <c r="Z43" t="str">
        <f t="shared" si="53"/>
        <v>0,999999998735089+0,0000610874444001089i</v>
      </c>
      <c r="AA43" s="4">
        <f t="shared" si="70"/>
        <v>1.0000000006009269</v>
      </c>
      <c r="AB43" s="4">
        <f t="shared" si="71"/>
        <v>6.1087444401392889E-5</v>
      </c>
      <c r="AC43" s="47" t="str">
        <f t="shared" si="72"/>
        <v>45,6937018270455-20,0709333212892i</v>
      </c>
      <c r="AD43" s="20">
        <f t="shared" si="73"/>
        <v>33.9633131612079</v>
      </c>
      <c r="AE43" s="43">
        <f t="shared" si="74"/>
        <v>-23.713456174579697</v>
      </c>
      <c r="AF43" t="str">
        <f t="shared" si="54"/>
        <v>171,265703090588</v>
      </c>
      <c r="AG43" t="str">
        <f t="shared" si="55"/>
        <v>1+0,4410624616396i</v>
      </c>
      <c r="AH43">
        <f t="shared" si="75"/>
        <v>1.0929483496797017</v>
      </c>
      <c r="AI43">
        <f t="shared" si="76"/>
        <v>0.41539665792972208</v>
      </c>
      <c r="AJ43" t="str">
        <f t="shared" si="56"/>
        <v>1+0,00558662953060825i</v>
      </c>
      <c r="AK43">
        <f t="shared" si="77"/>
        <v>1.0000156050929967</v>
      </c>
      <c r="AL43">
        <f t="shared" si="78"/>
        <v>5.5865714113275443E-3</v>
      </c>
      <c r="AM43" t="str">
        <f t="shared" si="57"/>
        <v>1-0,000140471398156004i</v>
      </c>
      <c r="AN43">
        <f t="shared" si="79"/>
        <v>1.0000000098661068</v>
      </c>
      <c r="AO43">
        <f t="shared" si="80"/>
        <v>-1.404713972320668E-4</v>
      </c>
      <c r="AP43" s="41" t="str">
        <f t="shared" si="81"/>
        <v>143,718749770351-62,4562054557798i</v>
      </c>
      <c r="AQ43">
        <f t="shared" si="82"/>
        <v>43.901550891732171</v>
      </c>
      <c r="AR43" s="43">
        <f t="shared" si="83"/>
        <v>-23.488436777598842</v>
      </c>
      <c r="AS43" t="str">
        <f t="shared" si="58"/>
        <v>-0,0000166666666666667</v>
      </c>
      <c r="AT43" t="str">
        <f t="shared" si="59"/>
        <v>3,70281805288716E-07i</v>
      </c>
      <c r="AU43">
        <f t="shared" si="84"/>
        <v>3.7028180528871598E-7</v>
      </c>
      <c r="AV43">
        <f t="shared" si="85"/>
        <v>1.5707963267948966</v>
      </c>
      <c r="AW43" t="str">
        <f t="shared" si="60"/>
        <v>1+0,000124611845172771i</v>
      </c>
      <c r="AX43">
        <f t="shared" si="86"/>
        <v>1.0000000077640558</v>
      </c>
      <c r="AY43">
        <f t="shared" si="87"/>
        <v>1.2461184452777543E-4</v>
      </c>
      <c r="AZ43" t="str">
        <f t="shared" si="61"/>
        <v>1+0,0294974039216115i</v>
      </c>
      <c r="BA43">
        <f t="shared" si="88"/>
        <v>1.0004349538266417</v>
      </c>
      <c r="BB43">
        <f t="shared" si="89"/>
        <v>2.9488853185853762E-2</v>
      </c>
      <c r="BC43" s="41" t="str">
        <f t="shared" si="90"/>
        <v>-1,32209176906187+45,0109279794814i</v>
      </c>
      <c r="BD43">
        <f t="shared" si="91"/>
        <v>33.07010461561552</v>
      </c>
      <c r="BE43" s="43">
        <f t="shared" si="92"/>
        <v>91.682447097461548</v>
      </c>
      <c r="BF43" s="41" t="str">
        <f t="shared" si="93"/>
        <v>843,000067122017+2083,25153779451i</v>
      </c>
      <c r="BG43" s="20">
        <f t="shared" si="94"/>
        <v>67.033417776823427</v>
      </c>
      <c r="BH43" s="43">
        <f t="shared" si="95"/>
        <v>67.968990922881886</v>
      </c>
      <c r="BI43" s="41" t="str">
        <f t="shared" si="96"/>
        <v>2621,20238951055+6551,4871303743i</v>
      </c>
      <c r="BJ43" s="20">
        <f t="shared" si="97"/>
        <v>76.971655507347691</v>
      </c>
      <c r="BK43" s="43">
        <f t="shared" si="98"/>
        <v>68.194010319862741</v>
      </c>
      <c r="BL43">
        <f t="shared" si="99"/>
        <v>67.033417776823427</v>
      </c>
      <c r="BM43" s="43">
        <f t="shared" si="100"/>
        <v>67.968990922881886</v>
      </c>
    </row>
    <row r="44" spans="1:65" x14ac:dyDescent="0.25">
      <c r="B44" s="1"/>
      <c r="N44" s="9">
        <v>26</v>
      </c>
      <c r="O44" s="34">
        <f t="shared" si="62"/>
        <v>18.197008586099841</v>
      </c>
      <c r="P44" s="33" t="str">
        <f t="shared" si="50"/>
        <v>54,631621870174</v>
      </c>
      <c r="Q44" s="4" t="str">
        <f t="shared" si="63"/>
        <v>1+0,455697155881418i</v>
      </c>
      <c r="R44" s="4">
        <f t="shared" si="64"/>
        <v>1.0989358024372549</v>
      </c>
      <c r="S44" s="4">
        <f t="shared" si="65"/>
        <v>0.42758157110399631</v>
      </c>
      <c r="T44" s="4" t="str">
        <f t="shared" si="51"/>
        <v>1+0,00571675884914015i</v>
      </c>
      <c r="U44" s="4">
        <f t="shared" si="66"/>
        <v>1.0000163405323632</v>
      </c>
      <c r="V44" s="4">
        <f t="shared" si="67"/>
        <v>5.7166965732638273E-3</v>
      </c>
      <c r="W44" t="str">
        <f t="shared" si="52"/>
        <v>1-0,000454978410886112i</v>
      </c>
      <c r="X44" s="4">
        <f t="shared" si="68"/>
        <v>1.0000001035026718</v>
      </c>
      <c r="Y44" s="4">
        <f t="shared" si="69"/>
        <v>-4.5497837949179349E-4</v>
      </c>
      <c r="Z44" t="str">
        <f t="shared" si="53"/>
        <v>0,999999998675476+0,0000625103537709717i</v>
      </c>
      <c r="AA44" s="4">
        <f t="shared" si="70"/>
        <v>1.000000000629248</v>
      </c>
      <c r="AB44" s="4">
        <f t="shared" si="71"/>
        <v>6.2510353772347513E-5</v>
      </c>
      <c r="AC44" s="47" t="str">
        <f t="shared" si="72"/>
        <v>45,3449023056197-20,379498466756i</v>
      </c>
      <c r="AD44" s="20">
        <f t="shared" si="73"/>
        <v>33.929578248411964</v>
      </c>
      <c r="AE44" s="43">
        <f t="shared" si="74"/>
        <v>-24.200726755788583</v>
      </c>
      <c r="AF44" t="str">
        <f t="shared" si="54"/>
        <v>171,265703090588</v>
      </c>
      <c r="AG44" t="str">
        <f t="shared" si="55"/>
        <v>1+0,451336126153903i</v>
      </c>
      <c r="AH44">
        <f t="shared" si="75"/>
        <v>1.0971345855325187</v>
      </c>
      <c r="AI44">
        <f t="shared" si="76"/>
        <v>0.42396449400665592</v>
      </c>
      <c r="AJ44" t="str">
        <f t="shared" si="56"/>
        <v>1+0,00571675884914015i</v>
      </c>
      <c r="AK44">
        <f t="shared" si="77"/>
        <v>1.0000163405323632</v>
      </c>
      <c r="AL44">
        <f t="shared" si="78"/>
        <v>5.7166965732638273E-3</v>
      </c>
      <c r="AM44" t="str">
        <f t="shared" si="57"/>
        <v>1-0,000143743397348919i</v>
      </c>
      <c r="AN44">
        <f t="shared" si="79"/>
        <v>1.000000010331082</v>
      </c>
      <c r="AO44">
        <f t="shared" si="80"/>
        <v>-1.4374339635890245E-4</v>
      </c>
      <c r="AP44" s="41" t="str">
        <f t="shared" si="81"/>
        <v>142,64020588334-63,4242115474959i</v>
      </c>
      <c r="AQ44">
        <f t="shared" si="82"/>
        <v>43.868351941190163</v>
      </c>
      <c r="AR44" s="43">
        <f t="shared" si="83"/>
        <v>-23.972069473520122</v>
      </c>
      <c r="AS44" t="str">
        <f t="shared" si="58"/>
        <v>-0,0000166666666666667</v>
      </c>
      <c r="AT44" t="str">
        <f t="shared" si="59"/>
        <v>3,7890677652101E-07i</v>
      </c>
      <c r="AU44">
        <f t="shared" si="84"/>
        <v>3.7890677652101002E-7</v>
      </c>
      <c r="AV44">
        <f t="shared" si="85"/>
        <v>1.5707963267948966</v>
      </c>
      <c r="AW44" t="str">
        <f t="shared" si="60"/>
        <v>1+0,000127514427920471i</v>
      </c>
      <c r="AX44">
        <f t="shared" si="86"/>
        <v>1.0000000081299647</v>
      </c>
      <c r="AY44">
        <f t="shared" si="87"/>
        <v>1.275144272293458E-4</v>
      </c>
      <c r="AZ44" t="str">
        <f t="shared" si="61"/>
        <v>1+0,03018448672346i</v>
      </c>
      <c r="BA44">
        <f t="shared" si="88"/>
        <v>1.0004554479029832</v>
      </c>
      <c r="BB44">
        <f t="shared" si="89"/>
        <v>3.0175324670279845E-2</v>
      </c>
      <c r="BC44" s="41" t="str">
        <f t="shared" si="90"/>
        <v>-1,32209176809434+43,9863617589201i</v>
      </c>
      <c r="BD44">
        <f t="shared" si="91"/>
        <v>32.870282542507972</v>
      </c>
      <c r="BE44" s="43">
        <f t="shared" si="92"/>
        <v>91.721612710536746</v>
      </c>
      <c r="BF44" s="41" t="str">
        <f t="shared" si="93"/>
        <v>836,469869960785+2021,50084389867i</v>
      </c>
      <c r="BG44" s="20">
        <f t="shared" si="94"/>
        <v>66.799860790919951</v>
      </c>
      <c r="BH44" s="43">
        <f t="shared" si="95"/>
        <v>67.520885954748209</v>
      </c>
      <c r="BI44" s="41" t="str">
        <f t="shared" si="96"/>
        <v>2601,21687140479+6358,07632533625i</v>
      </c>
      <c r="BJ44" s="20">
        <f t="shared" si="97"/>
        <v>76.738634483698135</v>
      </c>
      <c r="BK44" s="43">
        <f t="shared" si="98"/>
        <v>67.749543237016596</v>
      </c>
      <c r="BL44">
        <f t="shared" si="99"/>
        <v>66.799860790919951</v>
      </c>
      <c r="BM44" s="43">
        <f t="shared" si="100"/>
        <v>67.520885954748209</v>
      </c>
    </row>
    <row r="45" spans="1:65" x14ac:dyDescent="0.25">
      <c r="A45" t="s">
        <v>219</v>
      </c>
      <c r="B45" s="18">
        <f>1/(Cout*Resr)</f>
        <v>20000</v>
      </c>
      <c r="C45" t="s">
        <v>216</v>
      </c>
      <c r="E45" t="s">
        <v>209</v>
      </c>
      <c r="N45" s="9">
        <v>27</v>
      </c>
      <c r="O45" s="34">
        <f t="shared" si="62"/>
        <v>18.62087136662868</v>
      </c>
      <c r="P45" s="33" t="str">
        <f t="shared" si="50"/>
        <v>54,631621870174</v>
      </c>
      <c r="Q45" s="4" t="str">
        <f t="shared" si="63"/>
        <v>1+0,466311706215725i</v>
      </c>
      <c r="R45" s="4">
        <f t="shared" si="64"/>
        <v>1.1033796297529788</v>
      </c>
      <c r="S45" s="4">
        <f t="shared" si="65"/>
        <v>0.43633563804542919</v>
      </c>
      <c r="T45" s="4" t="str">
        <f t="shared" si="51"/>
        <v>1+0,0058499192688841i</v>
      </c>
      <c r="U45" s="4">
        <f t="shared" si="66"/>
        <v>1.0000171106313394</v>
      </c>
      <c r="V45" s="4">
        <f t="shared" si="67"/>
        <v>5.8498525391420348E-3</v>
      </c>
      <c r="W45" t="str">
        <f t="shared" si="52"/>
        <v>1-0,000465576219498792i</v>
      </c>
      <c r="X45" s="4">
        <f t="shared" si="68"/>
        <v>1.0000001083806023</v>
      </c>
      <c r="Y45" s="4">
        <f t="shared" si="69"/>
        <v>-4.6557618585917385E-4</v>
      </c>
      <c r="Z45" t="str">
        <f t="shared" si="53"/>
        <v>0,999999998613053+0,0000639664069588261i</v>
      </c>
      <c r="AA45" s="4">
        <f t="shared" si="70"/>
        <v>1.0000000006589036</v>
      </c>
      <c r="AB45" s="4">
        <f t="shared" si="71"/>
        <v>6.3966406960300301E-5</v>
      </c>
      <c r="AC45" s="47" t="str">
        <f t="shared" si="72"/>
        <v>44,9854043146557-20,6865598461442i</v>
      </c>
      <c r="AD45" s="20">
        <f t="shared" si="73"/>
        <v>33.894532193183508</v>
      </c>
      <c r="AE45" s="43">
        <f t="shared" si="74"/>
        <v>-24.695359205525243</v>
      </c>
      <c r="AF45" t="str">
        <f t="shared" si="54"/>
        <v>171,265703090588</v>
      </c>
      <c r="AG45" t="str">
        <f t="shared" si="55"/>
        <v>1+0,461849095056431i</v>
      </c>
      <c r="AH45">
        <f t="shared" si="75"/>
        <v>1.1015010606460822</v>
      </c>
      <c r="AI45">
        <f t="shared" si="76"/>
        <v>0.43266382854310353</v>
      </c>
      <c r="AJ45" t="str">
        <f t="shared" si="56"/>
        <v>1+0,0058499192688841i</v>
      </c>
      <c r="AK45">
        <f t="shared" si="77"/>
        <v>1.0000171106313394</v>
      </c>
      <c r="AL45">
        <f t="shared" si="78"/>
        <v>5.8498525391420348E-3</v>
      </c>
      <c r="AM45" t="str">
        <f t="shared" si="57"/>
        <v>1-0,000147091611193776i</v>
      </c>
      <c r="AN45">
        <f t="shared" si="79"/>
        <v>1.000000010817971</v>
      </c>
      <c r="AO45">
        <f t="shared" si="80"/>
        <v>-1.4709161013295416E-4</v>
      </c>
      <c r="AP45" s="41" t="str">
        <f t="shared" si="81"/>
        <v>141,52830196778-64,3880194002935i</v>
      </c>
      <c r="AQ45">
        <f t="shared" si="82"/>
        <v>43.833858356029118</v>
      </c>
      <c r="AR45" s="43">
        <f t="shared" si="83"/>
        <v>-24.463067190687319</v>
      </c>
      <c r="AS45" t="str">
        <f t="shared" si="58"/>
        <v>-0,0000166666666666667</v>
      </c>
      <c r="AT45" t="str">
        <f t="shared" si="59"/>
        <v>3,87732649141639E-07i</v>
      </c>
      <c r="AU45">
        <f t="shared" si="84"/>
        <v>3.8773264914163902E-7</v>
      </c>
      <c r="AV45">
        <f t="shared" si="85"/>
        <v>1.5707963267948966</v>
      </c>
      <c r="AW45" t="str">
        <f t="shared" si="60"/>
        <v>1+0,000130484620505707i</v>
      </c>
      <c r="AX45">
        <f t="shared" si="86"/>
        <v>1.000000008513118</v>
      </c>
      <c r="AY45">
        <f t="shared" si="87"/>
        <v>1.3048461976515301E-4</v>
      </c>
      <c r="AZ45" t="str">
        <f t="shared" si="61"/>
        <v>1+0,030887573739708i</v>
      </c>
      <c r="BA45">
        <f t="shared" si="88"/>
        <v>1.0004769073854358</v>
      </c>
      <c r="BB45">
        <f t="shared" si="89"/>
        <v>3.0877756675578627E-2</v>
      </c>
      <c r="BC45" s="41" t="str">
        <f t="shared" si="90"/>
        <v>-1,32209176708121+42,9851176895919i</v>
      </c>
      <c r="BD45">
        <f t="shared" si="91"/>
        <v>32.670468847023692</v>
      </c>
      <c r="BE45" s="43">
        <f t="shared" si="92"/>
        <v>91.761688920338642</v>
      </c>
      <c r="BF45" s="41" t="str">
        <f t="shared" si="93"/>
        <v>829,739376896069+1961,05242924117i</v>
      </c>
      <c r="BG45" s="20">
        <f t="shared" si="94"/>
        <v>66.565001040207193</v>
      </c>
      <c r="BH45" s="43">
        <f t="shared" si="95"/>
        <v>67.066329714813392</v>
      </c>
      <c r="BI45" s="41" t="str">
        <f t="shared" si="96"/>
        <v>2580,61318888076+6168,73758684092i</v>
      </c>
      <c r="BJ45" s="20">
        <f t="shared" si="97"/>
        <v>76.50432720305281</v>
      </c>
      <c r="BK45" s="43">
        <f t="shared" si="98"/>
        <v>67.298621729651302</v>
      </c>
      <c r="BL45">
        <f t="shared" si="99"/>
        <v>66.565001040207193</v>
      </c>
      <c r="BM45" s="43">
        <f t="shared" si="100"/>
        <v>67.066329714813392</v>
      </c>
    </row>
    <row r="46" spans="1:65" x14ac:dyDescent="0.25">
      <c r="B46" s="18">
        <f>wz_esr/(2*PI())</f>
        <v>3183.098861837907</v>
      </c>
      <c r="C46" t="s">
        <v>65</v>
      </c>
      <c r="N46" s="9">
        <v>28</v>
      </c>
      <c r="O46" s="34">
        <f t="shared" si="62"/>
        <v>19.054607179632477</v>
      </c>
      <c r="P46" s="33" t="str">
        <f t="shared" si="50"/>
        <v>54,631621870174</v>
      </c>
      <c r="Q46" s="4" t="str">
        <f t="shared" si="63"/>
        <v>1+0,477173501189033i</v>
      </c>
      <c r="R46" s="4">
        <f t="shared" si="64"/>
        <v>1.1080137861222665</v>
      </c>
      <c r="S46" s="4">
        <f t="shared" si="65"/>
        <v>0.44522022390132227</v>
      </c>
      <c r="T46" s="4" t="str">
        <f t="shared" si="51"/>
        <v>1+0,00598618139325725i</v>
      </c>
      <c r="U46" s="4">
        <f t="shared" si="66"/>
        <v>1.0000179170233265</v>
      </c>
      <c r="V46" s="4">
        <f t="shared" si="67"/>
        <v>5.9861098911195825E-3</v>
      </c>
      <c r="W46" t="str">
        <f t="shared" si="52"/>
        <v>1-0,000476420882785679i</v>
      </c>
      <c r="X46" s="4">
        <f t="shared" si="68"/>
        <v>1.0000001134884222</v>
      </c>
      <c r="Y46" s="4">
        <f t="shared" si="69"/>
        <v>-4.7642084674017897E-4</v>
      </c>
      <c r="Z46" t="str">
        <f t="shared" si="53"/>
        <v>0,999999998547688+0,0000654563759823456i</v>
      </c>
      <c r="AA46" s="4">
        <f t="shared" si="70"/>
        <v>1.0000000006899565</v>
      </c>
      <c r="AB46" s="4">
        <f t="shared" si="71"/>
        <v>6.5456375983925259E-5</v>
      </c>
      <c r="AC46" s="47" t="str">
        <f t="shared" si="72"/>
        <v>44,6151068105052-20,9917155689159i</v>
      </c>
      <c r="AD46" s="20">
        <f t="shared" si="73"/>
        <v>33.858135199103351</v>
      </c>
      <c r="AE46" s="43">
        <f t="shared" si="74"/>
        <v>-25.197308228829002</v>
      </c>
      <c r="AF46" t="str">
        <f t="shared" si="54"/>
        <v>171,265703090588</v>
      </c>
      <c r="AG46" t="str">
        <f t="shared" si="55"/>
        <v>1+0,472606942462453i</v>
      </c>
      <c r="AH46">
        <f t="shared" si="75"/>
        <v>1.1060548458660213</v>
      </c>
      <c r="AI46">
        <f t="shared" si="76"/>
        <v>0.44149400619427676</v>
      </c>
      <c r="AJ46" t="str">
        <f t="shared" si="56"/>
        <v>1+0,00598618139325725i</v>
      </c>
      <c r="AK46">
        <f t="shared" si="77"/>
        <v>1.0000179170233265</v>
      </c>
      <c r="AL46">
        <f t="shared" si="78"/>
        <v>5.9861098911195825E-3</v>
      </c>
      <c r="AM46" t="str">
        <f t="shared" si="57"/>
        <v>1-0,000150517814957876i</v>
      </c>
      <c r="AN46">
        <f t="shared" si="79"/>
        <v>1.0000000113278062</v>
      </c>
      <c r="AO46">
        <f t="shared" si="80"/>
        <v>-1.5051781382118492E-4</v>
      </c>
      <c r="AP46" s="41" t="str">
        <f t="shared" si="81"/>
        <v>140,382700014492-65,3463896027353i</v>
      </c>
      <c r="AQ46">
        <f t="shared" si="82"/>
        <v>43.798030501365687</v>
      </c>
      <c r="AR46" s="43">
        <f t="shared" si="83"/>
        <v>-24.961388438265526</v>
      </c>
      <c r="AS46" t="str">
        <f t="shared" si="58"/>
        <v>-0,0000166666666666667</v>
      </c>
      <c r="AT46" t="str">
        <f t="shared" si="59"/>
        <v>3,96764102745092E-07i</v>
      </c>
      <c r="AU46">
        <f t="shared" si="84"/>
        <v>3.9676410274509202E-7</v>
      </c>
      <c r="AV46">
        <f t="shared" si="85"/>
        <v>1.5707963267948966</v>
      </c>
      <c r="AW46" t="str">
        <f t="shared" si="60"/>
        <v>1+0,000133523997763903i</v>
      </c>
      <c r="AX46">
        <f t="shared" si="86"/>
        <v>1.0000000089143288</v>
      </c>
      <c r="AY46">
        <f t="shared" si="87"/>
        <v>1.335239969703851E-4</v>
      </c>
      <c r="AZ46" t="str">
        <f t="shared" si="61"/>
        <v>1+0,0316070377563983i</v>
      </c>
      <c r="BA46">
        <f t="shared" si="88"/>
        <v>1.0004993777288091</v>
      </c>
      <c r="BB46">
        <f t="shared" si="89"/>
        <v>3.1596518866211482E-2</v>
      </c>
      <c r="BC46" s="41" t="str">
        <f t="shared" si="90"/>
        <v>-1,32209176602034+42,0066648986379i</v>
      </c>
      <c r="BD46">
        <f t="shared" si="91"/>
        <v>32.470663923234795</v>
      </c>
      <c r="BE46" s="43">
        <f t="shared" si="92"/>
        <v>91.802696816849277</v>
      </c>
      <c r="BF46" s="41" t="str">
        <f t="shared" si="93"/>
        <v>822,806696196683+1901,88481551413i</v>
      </c>
      <c r="BG46" s="20">
        <f t="shared" si="94"/>
        <v>66.328799122338125</v>
      </c>
      <c r="BH46" s="43">
        <f t="shared" si="95"/>
        <v>66.605388588020233</v>
      </c>
      <c r="BI46" s="41" t="str">
        <f t="shared" si="96"/>
        <v>2559,38507859707+5983,40296070771i</v>
      </c>
      <c r="BJ46" s="20">
        <f t="shared" si="97"/>
        <v>76.268694424600469</v>
      </c>
      <c r="BK46" s="43">
        <f t="shared" si="98"/>
        <v>66.841308378583804</v>
      </c>
      <c r="BL46">
        <f t="shared" si="99"/>
        <v>66.328799122338125</v>
      </c>
      <c r="BM46" s="43">
        <f t="shared" si="100"/>
        <v>66.605388588020233</v>
      </c>
    </row>
    <row r="47" spans="1:65" x14ac:dyDescent="0.25">
      <c r="B47" s="1"/>
      <c r="N47" s="9">
        <v>29</v>
      </c>
      <c r="O47" s="34">
        <f t="shared" si="62"/>
        <v>19.498445997580465</v>
      </c>
      <c r="P47" s="33" t="str">
        <f t="shared" si="50"/>
        <v>54,631621870174</v>
      </c>
      <c r="Q47" s="4" t="str">
        <f t="shared" si="63"/>
        <v>1+0,488288299868811i</v>
      </c>
      <c r="R47" s="4">
        <f t="shared" si="64"/>
        <v>1.1128456603630055</v>
      </c>
      <c r="S47" s="4">
        <f t="shared" si="65"/>
        <v>0.45423442788905849</v>
      </c>
      <c r="T47" s="4" t="str">
        <f t="shared" si="51"/>
        <v>1+0,0061256174702416i</v>
      </c>
      <c r="U47" s="4">
        <f t="shared" si="66"/>
        <v>1.0000187614187004</v>
      </c>
      <c r="V47" s="4">
        <f t="shared" si="67"/>
        <v>6.1255408543983555E-3</v>
      </c>
      <c r="W47" t="str">
        <f t="shared" si="52"/>
        <v>1-0,000487518150730798i</v>
      </c>
      <c r="X47" s="4">
        <f t="shared" si="68"/>
        <v>1.0000001188369665</v>
      </c>
      <c r="Y47" s="4">
        <f t="shared" si="69"/>
        <v>-4.8751811210734911E-4</v>
      </c>
      <c r="Z47" t="str">
        <f t="shared" si="53"/>
        <v>0,999999998479242+0,0000669810508428287i</v>
      </c>
      <c r="AA47" s="4">
        <f t="shared" si="70"/>
        <v>1.0000000007224725</v>
      </c>
      <c r="AB47" s="4">
        <f t="shared" si="71"/>
        <v>6.6981050844521384E-5</v>
      </c>
      <c r="AC47" s="47" t="str">
        <f t="shared" si="72"/>
        <v>44,2339261699617-21,2945493912413i</v>
      </c>
      <c r="AD47" s="20">
        <f t="shared" si="73"/>
        <v>33.820347128083036</v>
      </c>
      <c r="AE47" s="43">
        <f t="shared" si="74"/>
        <v>-25.706518451171256</v>
      </c>
      <c r="AF47" t="str">
        <f t="shared" si="54"/>
        <v>171,265703090588</v>
      </c>
      <c r="AG47" t="str">
        <f t="shared" si="55"/>
        <v>1+0,483615372325063i</v>
      </c>
      <c r="AH47">
        <f t="shared" si="75"/>
        <v>1.1108032356583724</v>
      </c>
      <c r="AI47">
        <f t="shared" si="76"/>
        <v>0.45045419976575041</v>
      </c>
      <c r="AJ47" t="str">
        <f t="shared" si="56"/>
        <v>1+0,0061256174702416i</v>
      </c>
      <c r="AK47">
        <f t="shared" si="77"/>
        <v>1.0000187614187004</v>
      </c>
      <c r="AL47">
        <f t="shared" si="78"/>
        <v>6.1255408543983555E-3</v>
      </c>
      <c r="AM47" t="str">
        <f t="shared" si="57"/>
        <v>1-0,000154023825259807i</v>
      </c>
      <c r="AN47">
        <f t="shared" si="79"/>
        <v>1.0000000118616694</v>
      </c>
      <c r="AO47">
        <f t="shared" si="80"/>
        <v>-1.5402382404182058E-4</v>
      </c>
      <c r="AP47" s="41" t="str">
        <f t="shared" si="81"/>
        <v>139,203114820985-66,29803701878i</v>
      </c>
      <c r="AQ47">
        <f t="shared" si="82"/>
        <v>43.760828374135286</v>
      </c>
      <c r="AR47" s="43">
        <f t="shared" si="83"/>
        <v>-25.466981787390424</v>
      </c>
      <c r="AS47" t="str">
        <f t="shared" si="58"/>
        <v>-0,0000166666666666667</v>
      </c>
      <c r="AT47" t="str">
        <f t="shared" si="59"/>
        <v>4,06005925927614E-07i</v>
      </c>
      <c r="AU47">
        <f t="shared" si="84"/>
        <v>4.0600592592761401E-7</v>
      </c>
      <c r="AV47">
        <f t="shared" si="85"/>
        <v>1.5707963267948966</v>
      </c>
      <c r="AW47" t="str">
        <f t="shared" si="60"/>
        <v>1+0,000136634171213114i</v>
      </c>
      <c r="AX47">
        <f t="shared" si="86"/>
        <v>1.0000000093344483</v>
      </c>
      <c r="AY47">
        <f t="shared" si="87"/>
        <v>1.3663417036284428E-4</v>
      </c>
      <c r="AZ47" t="str">
        <f t="shared" si="61"/>
        <v>1+0,0323432602428756i</v>
      </c>
      <c r="BA47">
        <f t="shared" si="88"/>
        <v>1.0005229065259518</v>
      </c>
      <c r="BB47">
        <f t="shared" si="89"/>
        <v>3.2331989367096567E-2</v>
      </c>
      <c r="BC47" s="41" t="str">
        <f t="shared" si="90"/>
        <v>-1,32209176490946+41,0504845974371i</v>
      </c>
      <c r="BD47">
        <f t="shared" si="91"/>
        <v>32.270868183712984</v>
      </c>
      <c r="BE47" s="43">
        <f t="shared" si="92"/>
        <v>91.844657972697419</v>
      </c>
      <c r="BF47" s="41" t="str">
        <f t="shared" si="93"/>
        <v>815,670262275595+1843,9774533118i</v>
      </c>
      <c r="BG47" s="20">
        <f t="shared" si="94"/>
        <v>66.09121531179602</v>
      </c>
      <c r="BH47" s="43">
        <f t="shared" si="95"/>
        <v>66.13813952152617</v>
      </c>
      <c r="BI47" s="41" t="str">
        <f t="shared" si="96"/>
        <v>2537,52725572517+5802,0074096463i</v>
      </c>
      <c r="BJ47" s="20">
        <f t="shared" si="97"/>
        <v>76.031696557848264</v>
      </c>
      <c r="BK47" s="43">
        <f t="shared" si="98"/>
        <v>66.377676185306996</v>
      </c>
      <c r="BL47">
        <f t="shared" si="99"/>
        <v>66.09121531179602</v>
      </c>
      <c r="BM47" s="43">
        <f t="shared" si="100"/>
        <v>66.13813952152617</v>
      </c>
    </row>
    <row r="48" spans="1:65" x14ac:dyDescent="0.25">
      <c r="A48" t="s">
        <v>212</v>
      </c>
      <c r="B48" s="1">
        <f>(Vsl*Fsw)</f>
        <v>45000</v>
      </c>
      <c r="C48" t="s">
        <v>150</v>
      </c>
      <c r="E48" t="s">
        <v>213</v>
      </c>
      <c r="N48" s="9">
        <v>30</v>
      </c>
      <c r="O48" s="34">
        <f t="shared" si="62"/>
        <v>19.952623149688804</v>
      </c>
      <c r="P48" s="33" t="str">
        <f t="shared" si="50"/>
        <v>54,631621870174</v>
      </c>
      <c r="Q48" s="4" t="str">
        <f t="shared" si="63"/>
        <v>1+0,499661995468438i</v>
      </c>
      <c r="R48" s="4">
        <f t="shared" si="64"/>
        <v>1.117882869407838</v>
      </c>
      <c r="S48" s="4">
        <f t="shared" si="65"/>
        <v>0.46337716881814583</v>
      </c>
      <c r="T48" s="4" t="str">
        <f t="shared" si="51"/>
        <v>1+0,0062683014306908i</v>
      </c>
      <c r="U48" s="4">
        <f t="shared" si="66"/>
        <v>1.000019645608438</v>
      </c>
      <c r="V48" s="4">
        <f t="shared" si="67"/>
        <v>6.2682193354227818E-3</v>
      </c>
      <c r="W48" t="str">
        <f t="shared" si="52"/>
        <v>1-0,000498873907252498i</v>
      </c>
      <c r="X48" s="4">
        <f t="shared" si="68"/>
        <v>1.00000012443758</v>
      </c>
      <c r="Y48" s="4">
        <f t="shared" si="69"/>
        <v>-4.9887386586672711E-4</v>
      </c>
      <c r="Z48" t="str">
        <f t="shared" si="53"/>
        <v>0,999999998407571+0,0000685412399430676i</v>
      </c>
      <c r="AA48" s="4">
        <f t="shared" si="70"/>
        <v>1.0000000007565217</v>
      </c>
      <c r="AB48" s="4">
        <f t="shared" si="71"/>
        <v>6.8541239944881326E-5</v>
      </c>
      <c r="AC48" s="47" t="str">
        <f t="shared" si="72"/>
        <v>43,841797531427-21,5946313883939i</v>
      </c>
      <c r="AD48" s="20">
        <f t="shared" si="73"/>
        <v>33.781127567391763</v>
      </c>
      <c r="AE48" s="43">
        <f t="shared" si="74"/>
        <v>-26.222924073813768</v>
      </c>
      <c r="AF48" t="str">
        <f t="shared" si="54"/>
        <v>171,265703090588</v>
      </c>
      <c r="AG48" t="str">
        <f t="shared" si="55"/>
        <v>1+0,494880221459486i</v>
      </c>
      <c r="AH48">
        <f t="shared" si="75"/>
        <v>1.1157537513231985</v>
      </c>
      <c r="AI48">
        <f t="shared" si="76"/>
        <v>0.45954340411774575</v>
      </c>
      <c r="AJ48" t="str">
        <f t="shared" si="56"/>
        <v>1+0,0062683014306908i</v>
      </c>
      <c r="AK48">
        <f t="shared" si="77"/>
        <v>1.000019645608438</v>
      </c>
      <c r="AL48">
        <f t="shared" si="78"/>
        <v>6.2682193354227818E-3</v>
      </c>
      <c r="AM48" t="str">
        <f t="shared" si="57"/>
        <v>1-0,000157611501032636i</v>
      </c>
      <c r="AN48">
        <f t="shared" si="79"/>
        <v>1.0000000124206925</v>
      </c>
      <c r="AO48">
        <f t="shared" si="80"/>
        <v>-1.5761149972754002E-4</v>
      </c>
      <c r="AP48" s="41" t="str">
        <f t="shared" si="81"/>
        <v>137,989318192478-67,2416327389656i</v>
      </c>
      <c r="AQ48">
        <f t="shared" si="82"/>
        <v>43.722211668044324</v>
      </c>
      <c r="AR48" s="43">
        <f t="shared" si="83"/>
        <v>-25.979785519776769</v>
      </c>
      <c r="AS48" t="str">
        <f t="shared" si="58"/>
        <v>-0,0000166666666666667</v>
      </c>
      <c r="AT48" t="str">
        <f t="shared" si="59"/>
        <v>4,15463018826186E-07i</v>
      </c>
      <c r="AU48">
        <f t="shared" si="84"/>
        <v>4.1546301882618602E-7</v>
      </c>
      <c r="AV48">
        <f t="shared" si="85"/>
        <v>1.5707963267948966</v>
      </c>
      <c r="AW48" t="str">
        <f t="shared" si="60"/>
        <v>1+0,000139816789908468i</v>
      </c>
      <c r="AX48">
        <f t="shared" si="86"/>
        <v>1.0000000097743673</v>
      </c>
      <c r="AY48">
        <f t="shared" si="87"/>
        <v>1.3981678899738757E-4</v>
      </c>
      <c r="AZ48" t="str">
        <f t="shared" si="61"/>
        <v>1+0,0330966315540474i</v>
      </c>
      <c r="BA48">
        <f t="shared" si="88"/>
        <v>1.0005475436081108</v>
      </c>
      <c r="BB48">
        <f t="shared" si="89"/>
        <v>3.3084554949981713E-2</v>
      </c>
      <c r="BC48" s="41" t="str">
        <f t="shared" si="90"/>
        <v>-1,32209176374624+40,1160698065372i</v>
      </c>
      <c r="BD48">
        <f t="shared" si="91"/>
        <v>32.071082060394325</v>
      </c>
      <c r="BE48" s="43">
        <f t="shared" si="92"/>
        <v>91.887594453787983</v>
      </c>
      <c r="BF48" s="41" t="str">
        <f t="shared" si="93"/>
        <v>808,328860799119+1787,31069451453i</v>
      </c>
      <c r="BG48" s="20">
        <f t="shared" si="94"/>
        <v>65.852209627786095</v>
      </c>
      <c r="BH48" s="43">
        <f t="shared" si="95"/>
        <v>65.664670379974254</v>
      </c>
      <c r="BI48" s="41" t="str">
        <f t="shared" si="96"/>
        <v>2515,03549179465+5624,48872999096i</v>
      </c>
      <c r="BJ48" s="20">
        <f t="shared" si="97"/>
        <v>75.793293728438641</v>
      </c>
      <c r="BK48" s="43">
        <f t="shared" si="98"/>
        <v>65.907808934011214</v>
      </c>
      <c r="BL48">
        <f t="shared" si="99"/>
        <v>65.852209627786095</v>
      </c>
      <c r="BM48" s="43">
        <f t="shared" si="100"/>
        <v>65.664670379974254</v>
      </c>
    </row>
    <row r="49" spans="1:65" x14ac:dyDescent="0.25">
      <c r="A49" t="s">
        <v>215</v>
      </c>
      <c r="B49" s="1">
        <f>(R_cs*VIN_var)/Lm</f>
        <v>11000</v>
      </c>
      <c r="C49" t="s">
        <v>150</v>
      </c>
      <c r="E49" t="s">
        <v>214</v>
      </c>
      <c r="J49">
        <f>(0.5-(1-(VIN_var/VOUT)))</f>
        <v>-0.29439252336448596</v>
      </c>
      <c r="N49" s="9">
        <v>31</v>
      </c>
      <c r="O49" s="34">
        <f t="shared" si="62"/>
        <v>20.4173794466953</v>
      </c>
      <c r="P49" s="33" t="str">
        <f t="shared" si="50"/>
        <v>54,631621870174</v>
      </c>
      <c r="Q49" s="4" t="str">
        <f t="shared" si="63"/>
        <v>1+0,511300618471869i</v>
      </c>
      <c r="R49" s="4">
        <f t="shared" si="64"/>
        <v>1.1231332612160125</v>
      </c>
      <c r="S49" s="4">
        <f t="shared" si="65"/>
        <v>0.47264717942222828</v>
      </c>
      <c r="T49" s="4" t="str">
        <f t="shared" si="51"/>
        <v>1+0,0064143089275293i</v>
      </c>
      <c r="U49" s="4">
        <f t="shared" si="66"/>
        <v>1.0000205714679162</v>
      </c>
      <c r="V49" s="4">
        <f t="shared" si="67"/>
        <v>6.4142209609624823E-3</v>
      </c>
      <c r="W49" t="str">
        <f t="shared" si="52"/>
        <v>1-0,000510494173323199i</v>
      </c>
      <c r="X49" s="4">
        <f t="shared" si="68"/>
        <v>1.000000130302142</v>
      </c>
      <c r="Y49" s="4">
        <f t="shared" si="69"/>
        <v>-5.1049412897754686E-4</v>
      </c>
      <c r="Z49" t="str">
        <f t="shared" si="53"/>
        <v>0,999999998332523+0,0000701377705159745i</v>
      </c>
      <c r="AA49" s="4">
        <f t="shared" si="70"/>
        <v>1.0000000007921763</v>
      </c>
      <c r="AB49" s="4">
        <f t="shared" si="71"/>
        <v>7.0137770517917885E-5</v>
      </c>
      <c r="AC49" s="47" t="str">
        <f t="shared" si="72"/>
        <v>43,4386761284331-21,891518748571i</v>
      </c>
      <c r="AD49" s="20">
        <f t="shared" si="73"/>
        <v>33.740435901640275</v>
      </c>
      <c r="AE49" s="43">
        <f t="shared" si="74"/>
        <v>-26.746448547020478</v>
      </c>
      <c r="AF49" t="str">
        <f t="shared" si="54"/>
        <v>171,265703090588</v>
      </c>
      <c r="AG49" t="str">
        <f t="shared" si="55"/>
        <v>1+0,506407462637838i</v>
      </c>
      <c r="AH49">
        <f t="shared" si="75"/>
        <v>1.1209141439982337</v>
      </c>
      <c r="AI49">
        <f t="shared" si="76"/>
        <v>0.4687604303603683</v>
      </c>
      <c r="AJ49" t="str">
        <f t="shared" si="56"/>
        <v>1+0,0064143089275293i</v>
      </c>
      <c r="AK49">
        <f t="shared" si="77"/>
        <v>1.0000205714679162</v>
      </c>
      <c r="AL49">
        <f t="shared" si="78"/>
        <v>6.4142209609624823E-3</v>
      </c>
      <c r="AM49" t="str">
        <f t="shared" si="57"/>
        <v>1-0,000161282744509546i</v>
      </c>
      <c r="AN49">
        <f t="shared" si="79"/>
        <v>1.0000000130060618</v>
      </c>
      <c r="AO49">
        <f t="shared" si="80"/>
        <v>-1.6128274311111047E-4</v>
      </c>
      <c r="AP49" s="41" t="str">
        <f t="shared" si="81"/>
        <v>136,741143132462-68,1758064062289i</v>
      </c>
      <c r="AQ49">
        <f t="shared" si="82"/>
        <v>43.682139843487889</v>
      </c>
      <c r="AR49" s="43">
        <f t="shared" si="83"/>
        <v>-26.499727292946346</v>
      </c>
      <c r="AS49" t="str">
        <f t="shared" si="58"/>
        <v>-0,0000166666666666667</v>
      </c>
      <c r="AT49" t="str">
        <f t="shared" si="59"/>
        <v>4,25140395716643E-07i</v>
      </c>
      <c r="AU49">
        <f t="shared" si="84"/>
        <v>4.2514039571664298E-7</v>
      </c>
      <c r="AV49">
        <f t="shared" si="85"/>
        <v>1.5707963267948966</v>
      </c>
      <c r="AW49" t="str">
        <f t="shared" si="60"/>
        <v>1+0,000143073541316526i</v>
      </c>
      <c r="AX49">
        <f t="shared" si="86"/>
        <v>1.0000000102350191</v>
      </c>
      <c r="AY49">
        <f t="shared" si="87"/>
        <v>1.4307354034028572E-4</v>
      </c>
      <c r="AZ49" t="str">
        <f t="shared" si="61"/>
        <v>1+0,0338675511373547i</v>
      </c>
      <c r="BA49">
        <f t="shared" si="88"/>
        <v>1.0005733411499835</v>
      </c>
      <c r="BB49">
        <f t="shared" si="89"/>
        <v>3.3854611223396905E-2</v>
      </c>
      <c r="BC49" s="41" t="str">
        <f t="shared" si="90"/>
        <v>-1,32209176252819+39,2029250868477i</v>
      </c>
      <c r="BD49">
        <f t="shared" si="91"/>
        <v>31.871306005484243</v>
      </c>
      <c r="BE49" s="43">
        <f t="shared" si="92"/>
        <v>91.931528830135377</v>
      </c>
      <c r="BF49" s="41" t="str">
        <f t="shared" si="93"/>
        <v>800,781653653019+1731,86576274152i</v>
      </c>
      <c r="BG49" s="20">
        <f t="shared" si="94"/>
        <v>65.611741907124525</v>
      </c>
      <c r="BH49" s="43">
        <f t="shared" si="95"/>
        <v>65.185080283114928</v>
      </c>
      <c r="BI49" s="41" t="str">
        <f t="shared" si="96"/>
        <v>2491,90669234471+5450,78746256522i</v>
      </c>
      <c r="BJ49" s="20">
        <f t="shared" si="97"/>
        <v>75.553445848972146</v>
      </c>
      <c r="BK49" s="43">
        <f t="shared" si="98"/>
        <v>65.431801537189017</v>
      </c>
      <c r="BL49">
        <f t="shared" si="99"/>
        <v>65.611741907124525</v>
      </c>
      <c r="BM49" s="43">
        <f t="shared" si="100"/>
        <v>65.185080283114928</v>
      </c>
    </row>
    <row r="50" spans="1:65" x14ac:dyDescent="0.25">
      <c r="B50" s="1"/>
      <c r="J50">
        <f>Lm*Fsw</f>
        <v>1.5</v>
      </c>
      <c r="N50" s="9">
        <v>32</v>
      </c>
      <c r="O50" s="34">
        <f t="shared" si="62"/>
        <v>20.8929613085404</v>
      </c>
      <c r="P50" s="33" t="str">
        <f t="shared" si="50"/>
        <v>54,631621870174</v>
      </c>
      <c r="Q50" s="4" t="str">
        <f t="shared" si="63"/>
        <v>1+0,523210339831082i</v>
      </c>
      <c r="R50" s="4">
        <f t="shared" si="64"/>
        <v>1.1286049174561292</v>
      </c>
      <c r="S50" s="4">
        <f t="shared" si="65"/>
        <v>0.48204300105609882</v>
      </c>
      <c r="T50" s="4" t="str">
        <f t="shared" si="51"/>
        <v>1+0,00656371737586465i</v>
      </c>
      <c r="U50" s="4">
        <f t="shared" si="66"/>
        <v>1.0000215409608886</v>
      </c>
      <c r="V50" s="4">
        <f t="shared" si="67"/>
        <v>6.5636231180997463E-3</v>
      </c>
      <c r="W50" t="str">
        <f t="shared" si="52"/>
        <v>1-0,000522385110161789i</v>
      </c>
      <c r="X50" s="4">
        <f t="shared" si="68"/>
        <v>1.0000001364430924</v>
      </c>
      <c r="Y50" s="4">
        <f t="shared" si="69"/>
        <v>-5.2238506264456694E-4</v>
      </c>
      <c r="Z50" t="str">
        <f t="shared" si="53"/>
        <v>0,999999998253937+0,0000717714890631929i</v>
      </c>
      <c r="AA50" s="4">
        <f t="shared" si="70"/>
        <v>1.0000000008295102</v>
      </c>
      <c r="AB50" s="4">
        <f t="shared" si="71"/>
        <v>7.1771489065275285E-5</v>
      </c>
      <c r="AC50" s="47" t="str">
        <f t="shared" si="72"/>
        <v>43,024538604606-22,1847566918726i</v>
      </c>
      <c r="AD50" s="20">
        <f t="shared" si="73"/>
        <v>33.698231389674199</v>
      </c>
      <c r="AE50" s="43">
        <f t="shared" si="74"/>
        <v>-27.277004264136153</v>
      </c>
      <c r="AF50" t="str">
        <f t="shared" si="54"/>
        <v>171,265703090588</v>
      </c>
      <c r="AG50" t="str">
        <f t="shared" si="55"/>
        <v>1+0,51820320775598i</v>
      </c>
      <c r="AH50">
        <f t="shared" si="75"/>
        <v>1.1262923974388654</v>
      </c>
      <c r="AI50">
        <f t="shared" si="76"/>
        <v>0.47810390039169864</v>
      </c>
      <c r="AJ50" t="str">
        <f t="shared" si="56"/>
        <v>1+0,00656371737586465i</v>
      </c>
      <c r="AK50">
        <f t="shared" si="77"/>
        <v>1.0000215409608886</v>
      </c>
      <c r="AL50">
        <f t="shared" si="78"/>
        <v>6.5636231180997463E-3</v>
      </c>
      <c r="AM50" t="str">
        <f t="shared" si="57"/>
        <v>1-0,000165039502232427i</v>
      </c>
      <c r="AN50">
        <f t="shared" si="79"/>
        <v>1.0000000136190186</v>
      </c>
      <c r="AO50">
        <f t="shared" si="80"/>
        <v>-1.6503950073397633E-4</v>
      </c>
      <c r="AP50" s="41" t="str">
        <f t="shared" si="81"/>
        <v>135,458487989733-69,0991489291765i</v>
      </c>
      <c r="AQ50">
        <f t="shared" si="82"/>
        <v>43.640572202401806</v>
      </c>
      <c r="AR50" s="43">
        <f t="shared" si="83"/>
        <v>-27.026723825050755</v>
      </c>
      <c r="AS50" t="str">
        <f t="shared" si="58"/>
        <v>-0,0000166666666666667</v>
      </c>
      <c r="AT50" t="str">
        <f t="shared" si="59"/>
        <v>4,35043187672308E-07i</v>
      </c>
      <c r="AU50">
        <f t="shared" si="84"/>
        <v>4.3504318767230797E-7</v>
      </c>
      <c r="AV50">
        <f t="shared" si="85"/>
        <v>1.5707963267948966</v>
      </c>
      <c r="AW50" t="str">
        <f t="shared" si="60"/>
        <v>1+0,000146406152209992i</v>
      </c>
      <c r="AX50">
        <f t="shared" si="86"/>
        <v>1.0000000107173805</v>
      </c>
      <c r="AY50">
        <f t="shared" si="87"/>
        <v>1.4640615116393171E-4</v>
      </c>
      <c r="AZ50" t="str">
        <f t="shared" si="61"/>
        <v>1+0,0346564277445653i</v>
      </c>
      <c r="BA50">
        <f t="shared" si="88"/>
        <v>1.0006003537796768</v>
      </c>
      <c r="BB50">
        <f t="shared" si="89"/>
        <v>3.4642562826218928E-2</v>
      </c>
      <c r="BC50" s="41" t="str">
        <f t="shared" si="90"/>
        <v>-1,32209176125274+38,3105662769514i</v>
      </c>
      <c r="BD50">
        <f t="shared" si="91"/>
        <v>31.671540492404375</v>
      </c>
      <c r="BE50" s="43">
        <f t="shared" si="92"/>
        <v>91.976484186902681</v>
      </c>
      <c r="BF50" s="41" t="str">
        <f t="shared" si="93"/>
        <v>793,028203561176+1677,62472179473i</v>
      </c>
      <c r="BG50" s="20">
        <f t="shared" si="94"/>
        <v>65.369771882078552</v>
      </c>
      <c r="BH50" s="43">
        <f t="shared" si="95"/>
        <v>64.699479922766486</v>
      </c>
      <c r="BI50" s="41" t="str">
        <f t="shared" ref="BI50:BI113" si="101">IMPRODUCT(AP50,BC50)</f>
        <v>2468,13897376917+5280,84679741513i</v>
      </c>
      <c r="BJ50" s="20">
        <f t="shared" si="97"/>
        <v>75.312112694806189</v>
      </c>
      <c r="BK50" s="43">
        <f t="shared" ref="BK50:BK113" si="102">(180/PI())*IMARGUMENT(BI50)</f>
        <v>64.949760361851943</v>
      </c>
      <c r="BL50">
        <f t="shared" si="99"/>
        <v>65.369771882078552</v>
      </c>
      <c r="BM50" s="43">
        <f t="shared" si="100"/>
        <v>64.699479922766486</v>
      </c>
    </row>
    <row r="51" spans="1:65" x14ac:dyDescent="0.25">
      <c r="A51" t="s">
        <v>210</v>
      </c>
      <c r="B51" s="1">
        <f>2*PI()*Fsw</f>
        <v>6283185.307179586</v>
      </c>
      <c r="C51" t="s">
        <v>216</v>
      </c>
      <c r="N51" s="9">
        <v>33</v>
      </c>
      <c r="O51" s="34">
        <f t="shared" si="62"/>
        <v>21.379620895022335</v>
      </c>
      <c r="P51" s="33" t="str">
        <f t="shared" si="50"/>
        <v>54,631621870174</v>
      </c>
      <c r="Q51" s="4" t="str">
        <f t="shared" si="63"/>
        <v>1+0,535397474237977i</v>
      </c>
      <c r="R51" s="4">
        <f t="shared" si="64"/>
        <v>1.1343061559475049</v>
      </c>
      <c r="S51" s="4">
        <f t="shared" si="65"/>
        <v>0.4915629788116857</v>
      </c>
      <c r="T51" s="4" t="str">
        <f t="shared" si="51"/>
        <v>1+0,0067166059940337i</v>
      </c>
      <c r="U51" s="4">
        <f t="shared" si="66"/>
        <v>1.0000225561436498</v>
      </c>
      <c r="V51" s="4">
        <f t="shared" si="67"/>
        <v>6.716504995141973E-3</v>
      </c>
      <c r="W51" t="str">
        <f t="shared" si="52"/>
        <v>1-0,000534553022500367i</v>
      </c>
      <c r="X51" s="4">
        <f t="shared" si="68"/>
        <v>1.0000001428734568</v>
      </c>
      <c r="Y51" s="4">
        <f t="shared" si="69"/>
        <v>-5.3455297158474667E-4</v>
      </c>
      <c r="Z51" t="str">
        <f t="shared" si="53"/>
        <v>0,999999998171647+0,0000734432618039199i</v>
      </c>
      <c r="AA51" s="4">
        <f t="shared" si="70"/>
        <v>1.0000000008686032</v>
      </c>
      <c r="AB51" s="4">
        <f t="shared" si="71"/>
        <v>7.344326180615127E-5</v>
      </c>
      <c r="AC51" s="47" t="str">
        <f t="shared" si="72"/>
        <v>42,5993842983345-22,4738795172099i</v>
      </c>
      <c r="AD51" s="20">
        <f t="shared" si="73"/>
        <v>33.654473246285697</v>
      </c>
      <c r="AE51" s="43">
        <f t="shared" si="74"/>
        <v>-27.814492279621348</v>
      </c>
      <c r="AF51" t="str">
        <f t="shared" si="54"/>
        <v>171,265703090588</v>
      </c>
      <c r="AG51" t="str">
        <f t="shared" si="55"/>
        <v>1+0,530273711074101i</v>
      </c>
      <c r="AH51">
        <f t="shared" si="75"/>
        <v>1.1318967305617147</v>
      </c>
      <c r="AI51">
        <f t="shared" si="76"/>
        <v>0.48757224183215653</v>
      </c>
      <c r="AJ51" t="str">
        <f t="shared" si="56"/>
        <v>1+0,0067166059940337i</v>
      </c>
      <c r="AK51">
        <f t="shared" si="77"/>
        <v>1.0000225561436498</v>
      </c>
      <c r="AL51">
        <f t="shared" si="78"/>
        <v>6.716504995141973E-3</v>
      </c>
      <c r="AM51" t="str">
        <f t="shared" si="57"/>
        <v>1-0,000168883766083946i</v>
      </c>
      <c r="AN51">
        <f t="shared" si="79"/>
        <v>1.0000000142608632</v>
      </c>
      <c r="AO51">
        <f t="shared" si="80"/>
        <v>-1.6888376447832717E-4</v>
      </c>
      <c r="AP51" s="41" t="str">
        <f t="shared" si="81"/>
        <v>134,141320526191-70,0102155927922i</v>
      </c>
      <c r="AQ51">
        <f t="shared" si="82"/>
        <v>43.597467967976165</v>
      </c>
      <c r="AR51" s="43">
        <f t="shared" si="83"/>
        <v>-27.560680602347247</v>
      </c>
      <c r="AS51" t="str">
        <f t="shared" si="58"/>
        <v>-0,0000166666666666667</v>
      </c>
      <c r="AT51" t="str">
        <f t="shared" si="59"/>
        <v>4,45176645284554E-07i</v>
      </c>
      <c r="AU51">
        <f t="shared" si="84"/>
        <v>4.4517664528455402E-7</v>
      </c>
      <c r="AV51">
        <f t="shared" si="85"/>
        <v>1.5707963267948966</v>
      </c>
      <c r="AW51" t="str">
        <f t="shared" si="60"/>
        <v>1+0,000149816389583274i</v>
      </c>
      <c r="AX51">
        <f t="shared" si="86"/>
        <v>1.0000000112224752</v>
      </c>
      <c r="AY51">
        <f t="shared" si="87"/>
        <v>1.498163884624002E-4</v>
      </c>
      <c r="AZ51" t="str">
        <f t="shared" si="61"/>
        <v>1+0,0354636796484979i</v>
      </c>
      <c r="BA51">
        <f t="shared" si="88"/>
        <v>1.0006286386938019</v>
      </c>
      <c r="BB51">
        <f t="shared" si="89"/>
        <v>3.5448823624870861E-2</v>
      </c>
      <c r="BC51" s="41" t="str">
        <f t="shared" si="90"/>
        <v>-1,32209175991718+37,4385202363952i</v>
      </c>
      <c r="BD51">
        <f t="shared" si="91"/>
        <v>31.471786016783177</v>
      </c>
      <c r="BE51" s="43">
        <f t="shared" si="92"/>
        <v>92.022484135647957</v>
      </c>
      <c r="BF51" s="41" t="str">
        <f t="shared" si="93"/>
        <v>785,068498136997+1624,57044203425i</v>
      </c>
      <c r="BG51" s="20">
        <f t="shared" si="94"/>
        <v>65.126259263068874</v>
      </c>
      <c r="BH51" s="43">
        <f t="shared" si="95"/>
        <v>64.207991856026666</v>
      </c>
      <c r="BI51" s="41" t="str">
        <f t="shared" si="101"/>
        <v>2443,73173869306+5114,61247220183i</v>
      </c>
      <c r="BJ51" s="20">
        <f t="shared" si="97"/>
        <v>75.069253984759342</v>
      </c>
      <c r="BK51" s="43">
        <f t="shared" si="102"/>
        <v>64.461803533300667</v>
      </c>
      <c r="BL51">
        <f t="shared" si="99"/>
        <v>65.126259263068874</v>
      </c>
      <c r="BM51" s="43">
        <f t="shared" si="100"/>
        <v>64.207991856026666</v>
      </c>
    </row>
    <row r="52" spans="1:65" x14ac:dyDescent="0.25">
      <c r="A52" t="s">
        <v>211</v>
      </c>
      <c r="B52" s="1">
        <f>1/(PI()*(((VIN_var/VOUT)*(1+(B48/B49)))-0.5))</f>
        <v>0.58220782601137799</v>
      </c>
      <c r="N52" s="9">
        <v>34</v>
      </c>
      <c r="O52" s="34">
        <f t="shared" si="62"/>
        <v>21.877616239495538</v>
      </c>
      <c r="P52" s="33" t="str">
        <f t="shared" si="50"/>
        <v>54,631621870174</v>
      </c>
      <c r="Q52" s="4" t="str">
        <f t="shared" si="63"/>
        <v>1+0,547868483472538i</v>
      </c>
      <c r="R52" s="4">
        <f t="shared" si="64"/>
        <v>1.140245532849175</v>
      </c>
      <c r="S52" s="4">
        <f t="shared" si="65"/>
        <v>0.50120525710801234</v>
      </c>
      <c r="T52" s="4" t="str">
        <f t="shared" si="51"/>
        <v>1+0,0068730558456056i</v>
      </c>
      <c r="U52" s="4">
        <f t="shared" si="66"/>
        <v>1.0000236191693959</v>
      </c>
      <c r="V52" s="4">
        <f t="shared" si="67"/>
        <v>6.8729476234813567E-3</v>
      </c>
      <c r="W52" t="str">
        <f t="shared" si="52"/>
        <v>1-0,000547004361927122i</v>
      </c>
      <c r="X52" s="4">
        <f t="shared" si="68"/>
        <v>1.0000001496068749</v>
      </c>
      <c r="Y52" s="4">
        <f t="shared" si="69"/>
        <v>-5.4700430737005229E-4</v>
      </c>
      <c r="Z52" t="str">
        <f t="shared" si="53"/>
        <v>0,99999999808548+0,000075153975134192i</v>
      </c>
      <c r="AA52" s="4">
        <f t="shared" si="70"/>
        <v>1.0000000009095398</v>
      </c>
      <c r="AB52" s="4">
        <f t="shared" si="71"/>
        <v>7.5153975136582895E-5</v>
      </c>
      <c r="AC52" s="47" t="str">
        <f t="shared" si="72"/>
        <v>42,1632364846689-22,7584117788325i</v>
      </c>
      <c r="AD52" s="20">
        <f t="shared" si="73"/>
        <v>33.609120728609305</v>
      </c>
      <c r="AE52" s="43">
        <f t="shared" si="74"/>
        <v>-28.358802054195227</v>
      </c>
      <c r="AF52" t="str">
        <f t="shared" si="54"/>
        <v>171,265703090588</v>
      </c>
      <c r="AG52" t="str">
        <f t="shared" si="55"/>
        <v>1+0,542625372532837i</v>
      </c>
      <c r="AH52">
        <f t="shared" si="75"/>
        <v>1.1377355997402914</v>
      </c>
      <c r="AI52">
        <f t="shared" si="76"/>
        <v>0.49716368340981221</v>
      </c>
      <c r="AJ52" t="str">
        <f t="shared" si="56"/>
        <v>1+0,0068730558456056i</v>
      </c>
      <c r="AK52">
        <f t="shared" si="77"/>
        <v>1.0000236191693959</v>
      </c>
      <c r="AL52">
        <f t="shared" si="78"/>
        <v>6.8729476234813567E-3</v>
      </c>
      <c r="AM52" t="str">
        <f t="shared" si="57"/>
        <v>1-0,000172817574343684i</v>
      </c>
      <c r="AN52">
        <f t="shared" si="79"/>
        <v>1.0000000149329569</v>
      </c>
      <c r="AO52">
        <f t="shared" si="80"/>
        <v>-1.7281757262323241E-4</v>
      </c>
      <c r="AP52" s="41" t="str">
        <f t="shared" si="81"/>
        <v>132,789681867275-70,9075295733447i</v>
      </c>
      <c r="AQ52">
        <f t="shared" si="82"/>
        <v>43.552786369115267</v>
      </c>
      <c r="AR52" s="43">
        <f t="shared" si="83"/>
        <v>-28.101491612457465</v>
      </c>
      <c r="AS52" t="str">
        <f t="shared" si="58"/>
        <v>-0,0000166666666666667</v>
      </c>
      <c r="AT52" t="str">
        <f t="shared" si="59"/>
        <v>4,55546141446739E-07i</v>
      </c>
      <c r="AU52">
        <f t="shared" si="84"/>
        <v>4.55546141446739E-7</v>
      </c>
      <c r="AV52">
        <f t="shared" si="85"/>
        <v>1.5707963267948966</v>
      </c>
      <c r="AW52" t="str">
        <f t="shared" si="60"/>
        <v>1+0,000153306061589368i</v>
      </c>
      <c r="AX52">
        <f t="shared" si="86"/>
        <v>1.0000000117513741</v>
      </c>
      <c r="AY52">
        <f t="shared" si="87"/>
        <v>1.5330606038833008E-4</v>
      </c>
      <c r="AZ52" t="str">
        <f t="shared" si="61"/>
        <v>1+0,0362897348647976i</v>
      </c>
      <c r="BA52">
        <f t="shared" si="88"/>
        <v>1.000658255777944</v>
      </c>
      <c r="BB52">
        <f t="shared" si="89"/>
        <v>3.6273816914185041E-2</v>
      </c>
      <c r="BC52" s="41" t="str">
        <f t="shared" si="90"/>
        <v>-1,32209175851867+36,5863245948259i</v>
      </c>
      <c r="BD52">
        <f t="shared" si="91"/>
        <v>31.272043097492684</v>
      </c>
      <c r="BE52" s="43">
        <f t="shared" si="92"/>
        <v>92.069552825779027</v>
      </c>
      <c r="BF52" s="41" t="str">
        <f t="shared" si="93"/>
        <v>776,902973134221+1572,68656464627i</v>
      </c>
      <c r="BG52" s="20">
        <f t="shared" si="94"/>
        <v>64.881163826101982</v>
      </c>
      <c r="BH52" s="43">
        <f t="shared" si="95"/>
        <v>63.710750771583768</v>
      </c>
      <c r="BI52" s="41" t="str">
        <f t="shared" si="101"/>
        <v>2418,68574917457+4952,03266410563i</v>
      </c>
      <c r="BJ52" s="20">
        <f t="shared" si="97"/>
        <v>74.824829466607952</v>
      </c>
      <c r="BK52" s="43">
        <f t="shared" si="102"/>
        <v>63.96806121332154</v>
      </c>
      <c r="BL52">
        <f t="shared" si="99"/>
        <v>64.881163826101982</v>
      </c>
      <c r="BM52" s="43">
        <f t="shared" si="100"/>
        <v>63.710750771583768</v>
      </c>
    </row>
    <row r="53" spans="1:65" x14ac:dyDescent="0.25">
      <c r="N53" s="9">
        <v>35</v>
      </c>
      <c r="O53" s="34">
        <f t="shared" si="62"/>
        <v>22.387211385683404</v>
      </c>
      <c r="P53" s="33" t="str">
        <f t="shared" si="50"/>
        <v>54,631621870174</v>
      </c>
      <c r="Q53" s="4" t="str">
        <f t="shared" si="63"/>
        <v>1+0,560629979828933i</v>
      </c>
      <c r="R53" s="4">
        <f t="shared" si="64"/>
        <v>1.1464318445869297</v>
      </c>
      <c r="S53" s="4">
        <f t="shared" si="65"/>
        <v>0.51096777581045938</v>
      </c>
      <c r="T53" s="4" t="str">
        <f t="shared" si="51"/>
        <v>1+0,0070331498823625i</v>
      </c>
      <c r="U53" s="4">
        <f t="shared" si="66"/>
        <v>1.0000247322927907</v>
      </c>
      <c r="V53" s="4">
        <f t="shared" si="67"/>
        <v>7.0330339204220131E-3</v>
      </c>
      <c r="W53" t="str">
        <f t="shared" si="52"/>
        <v>1-0,000559745730307031i</v>
      </c>
      <c r="X53" s="4">
        <f t="shared" si="68"/>
        <v>1.0000001566576291</v>
      </c>
      <c r="Y53" s="4">
        <f t="shared" si="69"/>
        <v>-5.597456718480782E-4</v>
      </c>
      <c r="Z53" t="str">
        <f t="shared" si="53"/>
        <v>0,999999997995251+0,0000769045360968609i</v>
      </c>
      <c r="AA53" s="4">
        <f t="shared" si="70"/>
        <v>1.0000000009524048</v>
      </c>
      <c r="AB53" s="4">
        <f t="shared" si="71"/>
        <v>7.6904536099422824E-5</v>
      </c>
      <c r="AC53" s="47" t="str">
        <f t="shared" si="72"/>
        <v>41,7161435613254-23,0378695929297i</v>
      </c>
      <c r="AD53" s="20">
        <f t="shared" si="73"/>
        <v>33.562133227019089</v>
      </c>
      <c r="AE53" s="43">
        <f t="shared" si="74"/>
        <v>-28.909811230255205</v>
      </c>
      <c r="AF53" t="str">
        <f t="shared" si="54"/>
        <v>171,265703090588</v>
      </c>
      <c r="AG53" t="str">
        <f t="shared" si="55"/>
        <v>1+0,555264741146587i</v>
      </c>
      <c r="AH53">
        <f t="shared" si="75"/>
        <v>1.1438177008424839</v>
      </c>
      <c r="AI53">
        <f t="shared" si="76"/>
        <v>0.5068762508518414</v>
      </c>
      <c r="AJ53" t="str">
        <f t="shared" si="56"/>
        <v>1+0,0070331498823625i</v>
      </c>
      <c r="AK53">
        <f t="shared" si="77"/>
        <v>1.0000247322927907</v>
      </c>
      <c r="AL53">
        <f t="shared" si="78"/>
        <v>7.0330339204220131E-3</v>
      </c>
      <c r="AM53" t="str">
        <f t="shared" si="57"/>
        <v>1-0,000176843012768851i</v>
      </c>
      <c r="AN53">
        <f t="shared" si="79"/>
        <v>1.0000000156367255</v>
      </c>
      <c r="AO53">
        <f t="shared" si="80"/>
        <v>-1.7684301092535392E-4</v>
      </c>
      <c r="AP53" s="41" t="str">
        <f t="shared" si="81"/>
        <v>131,403690294712-71,7895858605737i</v>
      </c>
      <c r="AQ53">
        <f t="shared" si="82"/>
        <v>43.506486729480152</v>
      </c>
      <c r="AR53" s="43">
        <f t="shared" si="83"/>
        <v>-28.649039106574769</v>
      </c>
      <c r="AS53" t="str">
        <f t="shared" si="58"/>
        <v>-0,0000166666666666667</v>
      </c>
      <c r="AT53" t="str">
        <f t="shared" si="59"/>
        <v>4,66157174202985E-07i</v>
      </c>
      <c r="AU53">
        <f t="shared" si="84"/>
        <v>4.6615717420298499E-7</v>
      </c>
      <c r="AV53">
        <f t="shared" si="85"/>
        <v>1.5707963267948966</v>
      </c>
      <c r="AW53" t="str">
        <f t="shared" si="60"/>
        <v>1+0,000156877018498562i</v>
      </c>
      <c r="AX53">
        <f t="shared" si="86"/>
        <v>1.0000000123051993</v>
      </c>
      <c r="AY53">
        <f t="shared" si="87"/>
        <v>1.5687701721162669E-4</v>
      </c>
      <c r="AZ53" t="str">
        <f t="shared" si="61"/>
        <v>1+0,037135031378874i</v>
      </c>
      <c r="BA53">
        <f t="shared" si="88"/>
        <v>1.0006892677327512</v>
      </c>
      <c r="BB53">
        <f t="shared" si="89"/>
        <v>3.7117975621942578E-2</v>
      </c>
      <c r="BC53" s="41" t="str">
        <f t="shared" si="90"/>
        <v>-1,32209175705426+35,7535275068339i</v>
      </c>
      <c r="BD53">
        <f t="shared" si="91"/>
        <v>31.07231227773255</v>
      </c>
      <c r="BE53" s="43">
        <f t="shared" si="92"/>
        <v>92.117714956217952</v>
      </c>
      <c r="BF53" s="41" t="str">
        <f t="shared" si="93"/>
        <v>768,532534651144+1521,95746378778i</v>
      </c>
      <c r="BG53" s="20">
        <f t="shared" si="94"/>
        <v>64.634445504751625</v>
      </c>
      <c r="BH53" s="43">
        <f t="shared" si="95"/>
        <v>63.207903725962701</v>
      </c>
      <c r="BI53" s="41" t="str">
        <f t="shared" si="101"/>
        <v>2393,00319698509+4793,05787516007i</v>
      </c>
      <c r="BJ53" s="20">
        <f t="shared" si="97"/>
        <v>74.578799007212695</v>
      </c>
      <c r="BK53" s="43">
        <f t="shared" si="102"/>
        <v>63.468675849643148</v>
      </c>
      <c r="BL53">
        <f t="shared" si="99"/>
        <v>64.634445504751625</v>
      </c>
      <c r="BM53" s="43">
        <f t="shared" si="100"/>
        <v>63.207903725962701</v>
      </c>
    </row>
    <row r="54" spans="1:65" ht="15.75" x14ac:dyDescent="0.25">
      <c r="A54" s="35" t="s">
        <v>225</v>
      </c>
      <c r="N54" s="9">
        <v>36</v>
      </c>
      <c r="O54" s="34">
        <f t="shared" si="62"/>
        <v>22.908676527677727</v>
      </c>
      <c r="P54" s="33" t="str">
        <f t="shared" si="50"/>
        <v>54,631621870174</v>
      </c>
      <c r="Q54" s="4" t="str">
        <f t="shared" si="63"/>
        <v>1+0,573688729621448i</v>
      </c>
      <c r="R54" s="4">
        <f t="shared" si="64"/>
        <v>1.1528741295105338</v>
      </c>
      <c r="S54" s="4">
        <f t="shared" si="65"/>
        <v>0.52084826693470665</v>
      </c>
      <c r="T54" s="4" t="str">
        <f t="shared" si="51"/>
        <v>1+0,00719697298828175i</v>
      </c>
      <c r="U54" s="4">
        <f t="shared" si="66"/>
        <v>1.0000258978747472</v>
      </c>
      <c r="V54" s="4">
        <f t="shared" si="67"/>
        <v>7.1968487329976388E-3</v>
      </c>
      <c r="W54" t="str">
        <f t="shared" si="52"/>
        <v>1-0,000572783883282257i</v>
      </c>
      <c r="X54" s="4">
        <f t="shared" si="68"/>
        <v>1.000000164040675</v>
      </c>
      <c r="Y54" s="4">
        <f t="shared" si="69"/>
        <v>-5.7278382064236092E-4</v>
      </c>
      <c r="Z54" t="str">
        <f t="shared" si="53"/>
        <v>0,99999999790077+0,00007869587286252i</v>
      </c>
      <c r="AA54" s="4">
        <f t="shared" si="70"/>
        <v>1.00000000099729</v>
      </c>
      <c r="AB54" s="4">
        <f t="shared" si="71"/>
        <v>7.8695872865265165E-5</v>
      </c>
      <c r="AC54" s="47" t="str">
        <f t="shared" si="72"/>
        <v>41,2581801651395-23,3117620734157i</v>
      </c>
      <c r="AD54" s="20">
        <f t="shared" si="73"/>
        <v>33.513470360295145</v>
      </c>
      <c r="AE54" s="43">
        <f t="shared" si="74"/>
        <v>-29.467385440743598</v>
      </c>
      <c r="AF54" t="str">
        <f t="shared" si="54"/>
        <v>171,265703090588</v>
      </c>
      <c r="AG54" t="str">
        <f t="shared" si="55"/>
        <v>1+0,568198518475889i</v>
      </c>
      <c r="AH54">
        <f t="shared" si="75"/>
        <v>1.1501519710013086</v>
      </c>
      <c r="AI54">
        <f t="shared" si="76"/>
        <v>0.51670776333760005</v>
      </c>
      <c r="AJ54" t="str">
        <f t="shared" si="56"/>
        <v>1+0,00719697298828175i</v>
      </c>
      <c r="AK54">
        <f t="shared" si="77"/>
        <v>1.0000258978747472</v>
      </c>
      <c r="AL54">
        <f t="shared" si="78"/>
        <v>7.1968487329976388E-3</v>
      </c>
      <c r="AM54" t="str">
        <f t="shared" si="57"/>
        <v>1-0,000180962215700181i</v>
      </c>
      <c r="AN54">
        <f t="shared" si="79"/>
        <v>1.0000000163736615</v>
      </c>
      <c r="AO54">
        <f t="shared" si="80"/>
        <v>-1.8096221372483829E-4</v>
      </c>
      <c r="AP54" s="41" t="str">
        <f t="shared" si="81"/>
        <v>129,983544839494-72,6548555861873i</v>
      </c>
      <c r="AQ54">
        <f t="shared" si="82"/>
        <v>43.458528560904782</v>
      </c>
      <c r="AR54" s="43">
        <f t="shared" si="83"/>
        <v>-29.203193393791945</v>
      </c>
      <c r="AS54" t="str">
        <f t="shared" si="58"/>
        <v>-0,0000166666666666667</v>
      </c>
      <c r="AT54" t="str">
        <f t="shared" si="59"/>
        <v>4,77015369663313E-07i</v>
      </c>
      <c r="AU54">
        <f t="shared" si="84"/>
        <v>4.7701536966331299E-7</v>
      </c>
      <c r="AV54">
        <f t="shared" si="85"/>
        <v>1.5707963267948966</v>
      </c>
      <c r="AW54" t="str">
        <f t="shared" si="60"/>
        <v>1+0,000160531153679477i</v>
      </c>
      <c r="AX54">
        <f t="shared" si="86"/>
        <v>1.0000000128851256</v>
      </c>
      <c r="AY54">
        <f t="shared" si="87"/>
        <v>1.6053115230050096E-4</v>
      </c>
      <c r="AZ54" t="str">
        <f t="shared" si="61"/>
        <v>1+0,0380000173781276i</v>
      </c>
      <c r="BA54">
        <f t="shared" si="88"/>
        <v>1.0007217402059065</v>
      </c>
      <c r="BB54">
        <f t="shared" si="89"/>
        <v>3.7981742517109944E-2</v>
      </c>
      <c r="BC54" s="41" t="str">
        <f t="shared" si="90"/>
        <v>-1,32209175552083+34,9396874123801i</v>
      </c>
      <c r="BD54">
        <f t="shared" si="91"/>
        <v>30.872594126164795</v>
      </c>
      <c r="BE54" s="43">
        <f t="shared" si="92"/>
        <v>92.166995787275795</v>
      </c>
      <c r="BF54" s="41" t="str">
        <f t="shared" si="93"/>
        <v>759,958580032798+1472,36820661756i</v>
      </c>
      <c r="BG54" s="20">
        <f t="shared" si="94"/>
        <v>64.386064486459929</v>
      </c>
      <c r="BH54" s="43">
        <f t="shared" si="95"/>
        <v>62.699610346532211</v>
      </c>
      <c r="BI54" s="41" t="str">
        <f t="shared" si="101"/>
        <v>2366,68777018734+4637,64081101407i</v>
      </c>
      <c r="BJ54" s="20">
        <f t="shared" si="97"/>
        <v>74.33112268706958</v>
      </c>
      <c r="BK54" s="43">
        <f t="shared" si="102"/>
        <v>62.963802393483832</v>
      </c>
      <c r="BL54">
        <f t="shared" si="99"/>
        <v>64.386064486459929</v>
      </c>
      <c r="BM54" s="43">
        <f t="shared" si="100"/>
        <v>62.699610346532211</v>
      </c>
    </row>
    <row r="55" spans="1:65" x14ac:dyDescent="0.25">
      <c r="A55" t="s">
        <v>191</v>
      </c>
      <c r="N55" s="9">
        <v>37</v>
      </c>
      <c r="O55" s="34">
        <f t="shared" si="62"/>
        <v>23.442288153199236</v>
      </c>
      <c r="P55" s="33" t="str">
        <f t="shared" si="50"/>
        <v>54,631621870174</v>
      </c>
      <c r="Q55" s="4" t="str">
        <f t="shared" si="63"/>
        <v>1+0,587051656772076i</v>
      </c>
      <c r="R55" s="4">
        <f t="shared" si="64"/>
        <v>1.1595816692751051</v>
      </c>
      <c r="S55" s="4">
        <f t="shared" si="65"/>
        <v>0.53084425198995544</v>
      </c>
      <c r="T55" s="4" t="str">
        <f t="shared" si="51"/>
        <v>1+0,0073646120245426i</v>
      </c>
      <c r="U55" s="4">
        <f t="shared" si="66"/>
        <v>1.0000271183874325</v>
      </c>
      <c r="V55" s="4">
        <f t="shared" si="67"/>
        <v>7.3644788828018956E-3</v>
      </c>
      <c r="W55" t="str">
        <f t="shared" si="52"/>
        <v>1-0,000586125733854092i</v>
      </c>
      <c r="X55" s="4">
        <f t="shared" si="68"/>
        <v>1.0000001717716733</v>
      </c>
      <c r="Y55" s="4">
        <f t="shared" si="69"/>
        <v>-5.8612566673423472E-4</v>
      </c>
      <c r="Z55" t="str">
        <f t="shared" si="53"/>
        <v>0,999999997801836+0,000080528935221634i</v>
      </c>
      <c r="AA55" s="4">
        <f t="shared" si="70"/>
        <v>1.0000000010442907</v>
      </c>
      <c r="AB55" s="4">
        <f t="shared" si="71"/>
        <v>8.0528935224575515E-5</v>
      </c>
      <c r="AC55" s="47" t="str">
        <f t="shared" si="72"/>
        <v>40,7894482049196-23,5795928945392i</v>
      </c>
      <c r="AD55" s="20">
        <f t="shared" si="73"/>
        <v>33.463092074776185</v>
      </c>
      <c r="AE55" s="43">
        <f t="shared" si="74"/>
        <v>-30.031378154591032</v>
      </c>
      <c r="AF55" t="str">
        <f t="shared" si="54"/>
        <v>171,265703090588</v>
      </c>
      <c r="AG55" t="str">
        <f t="shared" si="55"/>
        <v>1+0,581433562180685i</v>
      </c>
      <c r="AH55">
        <f t="shared" si="75"/>
        <v>1.1567475901120869</v>
      </c>
      <c r="AI55">
        <f t="shared" si="76"/>
        <v>0.52665583056830068</v>
      </c>
      <c r="AJ55" t="str">
        <f t="shared" si="56"/>
        <v>1+0,0073646120245426i</v>
      </c>
      <c r="AK55">
        <f t="shared" si="77"/>
        <v>1.0000271183874325</v>
      </c>
      <c r="AL55">
        <f t="shared" si="78"/>
        <v>7.3644788828018956E-3</v>
      </c>
      <c r="AM55" t="str">
        <f t="shared" si="57"/>
        <v>1-0,000185177367193594i</v>
      </c>
      <c r="AN55">
        <f t="shared" si="79"/>
        <v>1.0000000171453285</v>
      </c>
      <c r="AO55">
        <f t="shared" si="80"/>
        <v>-1.8517736507697616E-4</v>
      </c>
      <c r="AP55" s="41" t="str">
        <f t="shared" si="81"/>
        <v>128,5295286315-73,5017907532336i</v>
      </c>
      <c r="AQ55">
        <f t="shared" si="82"/>
        <v>43.40887166092196</v>
      </c>
      <c r="AR55" s="43">
        <f t="shared" si="83"/>
        <v>-29.763812670703111</v>
      </c>
      <c r="AS55" t="str">
        <f t="shared" si="58"/>
        <v>-0,0000166666666666667</v>
      </c>
      <c r="AT55" t="str">
        <f t="shared" si="59"/>
        <v>4,88126484986682E-07i</v>
      </c>
      <c r="AU55">
        <f t="shared" si="84"/>
        <v>4.8812648498668197E-7</v>
      </c>
      <c r="AV55">
        <f t="shared" si="85"/>
        <v>1.5707963267948966</v>
      </c>
      <c r="AW55" t="str">
        <f t="shared" si="60"/>
        <v>1+0,000164270404602954i</v>
      </c>
      <c r="AX55">
        <f t="shared" si="86"/>
        <v>1.0000000134923828</v>
      </c>
      <c r="AY55">
        <f t="shared" si="87"/>
        <v>1.6427040312535455E-4</v>
      </c>
      <c r="AZ55" t="str">
        <f t="shared" si="61"/>
        <v>1+0,0388851514895849i</v>
      </c>
      <c r="BA55">
        <f t="shared" si="88"/>
        <v>1.0007557419302513</v>
      </c>
      <c r="BB55">
        <f t="shared" si="89"/>
        <v>3.8865570421780668E-2</v>
      </c>
      <c r="BC55" s="41" t="str">
        <f t="shared" si="90"/>
        <v>-1,32209175391513+34,1443728026736i</v>
      </c>
      <c r="BD55">
        <f t="shared" si="91"/>
        <v>30.672889238100218</v>
      </c>
      <c r="BE55" s="43">
        <f t="shared" si="92"/>
        <v>92.21742115273851</v>
      </c>
      <c r="BF55" s="41" t="str">
        <f t="shared" si="93"/>
        <v>751,183017207947+1423,90451125067i</v>
      </c>
      <c r="BG55" s="20">
        <f t="shared" si="94"/>
        <v>64.13598131287641</v>
      </c>
      <c r="BH55" s="43">
        <f t="shared" si="95"/>
        <v>62.186042998147556</v>
      </c>
      <c r="BI55" s="41" t="str">
        <f t="shared" si="101"/>
        <v>2339,74471520421+4485,73625319869i</v>
      </c>
      <c r="BJ55" s="20">
        <f t="shared" si="97"/>
        <v>74.081760899022171</v>
      </c>
      <c r="BK55" s="43">
        <f t="shared" si="102"/>
        <v>62.453608482035413</v>
      </c>
      <c r="BL55">
        <f t="shared" si="99"/>
        <v>64.13598131287641</v>
      </c>
      <c r="BM55" s="43">
        <f t="shared" si="100"/>
        <v>62.186042998147556</v>
      </c>
    </row>
    <row r="56" spans="1:65" x14ac:dyDescent="0.25">
      <c r="A56" t="s">
        <v>189</v>
      </c>
      <c r="B56" s="3">
        <f>RFBT</f>
        <v>3300</v>
      </c>
      <c r="C56" s="2" t="s">
        <v>36</v>
      </c>
      <c r="E56" t="s">
        <v>192</v>
      </c>
      <c r="N56" s="9">
        <v>38</v>
      </c>
      <c r="O56" s="34">
        <f t="shared" si="62"/>
        <v>23.988329190194907</v>
      </c>
      <c r="P56" s="33" t="str">
        <f t="shared" si="50"/>
        <v>54,631621870174</v>
      </c>
      <c r="Q56" s="4" t="str">
        <f t="shared" si="63"/>
        <v>1+0,600725846481671i</v>
      </c>
      <c r="R56" s="4">
        <f t="shared" si="64"/>
        <v>1.1665639899427378</v>
      </c>
      <c r="S56" s="4">
        <f t="shared" si="65"/>
        <v>0.54095304001472322</v>
      </c>
      <c r="T56" s="4" t="str">
        <f t="shared" si="51"/>
        <v>1+0,007536155875581i</v>
      </c>
      <c r="U56" s="4">
        <f t="shared" si="66"/>
        <v>1.0000283964195122</v>
      </c>
      <c r="V56" s="4">
        <f t="shared" si="67"/>
        <v>7.536013211854293E-3</v>
      </c>
      <c r="W56" t="str">
        <f t="shared" si="52"/>
        <v>1-0,000599778356048305i</v>
      </c>
      <c r="X56" s="4">
        <f t="shared" si="68"/>
        <v>1.0000001798670219</v>
      </c>
      <c r="Y56" s="4">
        <f t="shared" si="69"/>
        <v>-5.9977828412808285E-4</v>
      </c>
      <c r="Z56" t="str">
        <f t="shared" si="53"/>
        <v>0,99999999769824+0,0000824046950881286i</v>
      </c>
      <c r="AA56" s="4">
        <f t="shared" si="70"/>
        <v>1.0000000010935068</v>
      </c>
      <c r="AB56" s="4">
        <f t="shared" si="71"/>
        <v>8.2404695091280465E-5</v>
      </c>
      <c r="AC56" s="47" t="str">
        <f t="shared" si="72"/>
        <v>40,3100777964191-23,8408619763822i</v>
      </c>
      <c r="AD56" s="20">
        <f t="shared" si="73"/>
        <v>33.410958747162091</v>
      </c>
      <c r="AE56" s="43">
        <f t="shared" si="74"/>
        <v>-30.601630561785999</v>
      </c>
      <c r="AF56" t="str">
        <f t="shared" si="54"/>
        <v>171,265703090588</v>
      </c>
      <c r="AG56" t="str">
        <f t="shared" si="55"/>
        <v>1+0,594976889656329i</v>
      </c>
      <c r="AH56">
        <f t="shared" si="75"/>
        <v>1.1636139820512297</v>
      </c>
      <c r="AI56">
        <f t="shared" si="76"/>
        <v>0.536717850507197</v>
      </c>
      <c r="AJ56" t="str">
        <f t="shared" si="56"/>
        <v>1+0,007536155875581i</v>
      </c>
      <c r="AK56">
        <f t="shared" si="77"/>
        <v>1.0000283964195122</v>
      </c>
      <c r="AL56">
        <f t="shared" si="78"/>
        <v>7.536013211854293E-3</v>
      </c>
      <c r="AM56" t="str">
        <f t="shared" si="57"/>
        <v>1-0,000189490702178204i</v>
      </c>
      <c r="AN56">
        <f t="shared" si="79"/>
        <v>1.000000017953363</v>
      </c>
      <c r="AO56">
        <f t="shared" si="80"/>
        <v>-1.8949069991020713E-4</v>
      </c>
      <c r="AP56" s="41" t="str">
        <f t="shared" si="81"/>
        <v>127,0420119613-74,3288293561225i</v>
      </c>
      <c r="AQ56">
        <f t="shared" si="82"/>
        <v>43.35747621408661</v>
      </c>
      <c r="AR56" s="43">
        <f t="shared" si="83"/>
        <v>-30.330742889363606</v>
      </c>
      <c r="AS56" t="str">
        <f t="shared" si="58"/>
        <v>-0,0000166666666666667</v>
      </c>
      <c r="AT56" t="str">
        <f t="shared" si="59"/>
        <v>4,99496411433508E-07i</v>
      </c>
      <c r="AU56">
        <f t="shared" si="84"/>
        <v>4.9949641143350802E-7</v>
      </c>
      <c r="AV56">
        <f t="shared" si="85"/>
        <v>1.5707963267948966</v>
      </c>
      <c r="AW56" t="str">
        <f t="shared" si="60"/>
        <v>1+0,000168096753869326i</v>
      </c>
      <c r="AX56">
        <f t="shared" si="86"/>
        <v>1.0000000141282592</v>
      </c>
      <c r="AY56">
        <f t="shared" si="87"/>
        <v>1.6809675228604968E-4</v>
      </c>
      <c r="AZ56" t="str">
        <f t="shared" si="61"/>
        <v>1+0,0397909030230677i</v>
      </c>
      <c r="BA56">
        <f t="shared" si="88"/>
        <v>1.0007913448683452</v>
      </c>
      <c r="BB56">
        <f t="shared" si="89"/>
        <v>3.976992242682708E-2</v>
      </c>
      <c r="BC56" s="41" t="str">
        <f t="shared" si="90"/>
        <v>-1,32209175223375+33,3671619913812i</v>
      </c>
      <c r="BD56">
        <f t="shared" si="91"/>
        <v>30.473198236740025</v>
      </c>
      <c r="BE56" s="43">
        <f t="shared" si="92"/>
        <v>92.269017472164009</v>
      </c>
      <c r="BF56" s="41" t="str">
        <f t="shared" si="93"/>
        <v>742,208282193559+1376,55270270341i</v>
      </c>
      <c r="BG56" s="20">
        <f t="shared" si="94"/>
        <v>63.884156983902109</v>
      </c>
      <c r="BH56" s="43">
        <f t="shared" si="95"/>
        <v>61.667386910377978</v>
      </c>
      <c r="BI56" s="41" t="str">
        <f t="shared" si="101"/>
        <v>2312,18089355425+4337,3009250686i</v>
      </c>
      <c r="BJ56" s="20">
        <f t="shared" si="97"/>
        <v>73.830674450826621</v>
      </c>
      <c r="BK56" s="43">
        <f t="shared" si="102"/>
        <v>61.938274582800425</v>
      </c>
      <c r="BL56">
        <f t="shared" si="99"/>
        <v>63.884156983902109</v>
      </c>
      <c r="BM56" s="43">
        <f t="shared" si="100"/>
        <v>61.667386910377978</v>
      </c>
    </row>
    <row r="57" spans="1:65" x14ac:dyDescent="0.25">
      <c r="A57" t="s">
        <v>190</v>
      </c>
      <c r="B57" s="3">
        <f>RFBB</f>
        <v>27000</v>
      </c>
      <c r="C57" s="2" t="s">
        <v>36</v>
      </c>
      <c r="E57" t="s">
        <v>193</v>
      </c>
      <c r="N57" s="9">
        <v>39</v>
      </c>
      <c r="O57" s="34">
        <f t="shared" si="62"/>
        <v>24.547089156850316</v>
      </c>
      <c r="P57" s="33" t="str">
        <f t="shared" si="50"/>
        <v>54,631621870174</v>
      </c>
      <c r="Q57" s="4" t="str">
        <f t="shared" si="63"/>
        <v>1+0,614718548986616i</v>
      </c>
      <c r="R57" s="4">
        <f t="shared" si="64"/>
        <v>1.1738308628027339</v>
      </c>
      <c r="S57" s="4">
        <f t="shared" si="65"/>
        <v>0.55117172635647926</v>
      </c>
      <c r="T57" s="4" t="str">
        <f t="shared" si="51"/>
        <v>1+0,00771169549621745i</v>
      </c>
      <c r="U57" s="4">
        <f t="shared" si="66"/>
        <v>1.0000297346816376</v>
      </c>
      <c r="V57" s="4">
        <f t="shared" si="67"/>
        <v>7.7115426295256131E-3</v>
      </c>
      <c r="W57" t="str">
        <f t="shared" si="52"/>
        <v>1-0,0006137489886659i</v>
      </c>
      <c r="X57" s="4">
        <f t="shared" si="68"/>
        <v>1.0000001883438929</v>
      </c>
      <c r="Y57" s="4">
        <f t="shared" si="69"/>
        <v>-6.1374891160199431E-4</v>
      </c>
      <c r="Z57" t="str">
        <f t="shared" si="53"/>
        <v>0,999999997589762+0,0000843241470147141i</v>
      </c>
      <c r="AA57" s="4">
        <f t="shared" si="70"/>
        <v>1.0000000011450427</v>
      </c>
      <c r="AB57" s="4">
        <f t="shared" si="71"/>
        <v>8.4324147018091333E-5</v>
      </c>
      <c r="AC57" s="47" t="str">
        <f t="shared" si="72"/>
        <v>39,8202280850938-24,0950672876601i</v>
      </c>
      <c r="AD57" s="20">
        <f t="shared" si="73"/>
        <v>33.357031290577801</v>
      </c>
      <c r="AE57" s="43">
        <f t="shared" si="74"/>
        <v>-31.177971501009523</v>
      </c>
      <c r="AF57" t="str">
        <f t="shared" si="54"/>
        <v>171,265703090588</v>
      </c>
      <c r="AG57" t="str">
        <f t="shared" si="55"/>
        <v>1+0,60883568175432i</v>
      </c>
      <c r="AH57">
        <f t="shared" si="75"/>
        <v>1.1707608156140381</v>
      </c>
      <c r="AI57">
        <f t="shared" si="76"/>
        <v>0.54689100784251377</v>
      </c>
      <c r="AJ57" t="str">
        <f t="shared" si="56"/>
        <v>1+0,00771169549621745i</v>
      </c>
      <c r="AK57">
        <f t="shared" si="77"/>
        <v>1.0000297346816376</v>
      </c>
      <c r="AL57">
        <f t="shared" si="78"/>
        <v>7.7115426295256131E-3</v>
      </c>
      <c r="AM57" t="str">
        <f t="shared" si="57"/>
        <v>1-0,000193904507641315i</v>
      </c>
      <c r="AN57">
        <f t="shared" si="79"/>
        <v>1.0000000187994789</v>
      </c>
      <c r="AO57">
        <f t="shared" si="80"/>
        <v>-1.9390450521111256E-4</v>
      </c>
      <c r="AP57" s="41" t="str">
        <f t="shared" si="81"/>
        <v>125,521455009227-75,1344008759904i</v>
      </c>
      <c r="AQ57">
        <f t="shared" si="82"/>
        <v>43.304302896728892</v>
      </c>
      <c r="AR57" s="43">
        <f t="shared" si="83"/>
        <v>-30.90381766660219</v>
      </c>
      <c r="AS57" t="str">
        <f t="shared" si="58"/>
        <v>-0,0000166666666666667</v>
      </c>
      <c r="AT57" t="str">
        <f t="shared" si="59"/>
        <v>5,11131177489293E-07i</v>
      </c>
      <c r="AU57">
        <f t="shared" si="84"/>
        <v>5.1113117748929301E-7</v>
      </c>
      <c r="AV57">
        <f t="shared" si="85"/>
        <v>1.5707963267948966</v>
      </c>
      <c r="AW57" t="str">
        <f t="shared" si="60"/>
        <v>1+0,000172012230259624i</v>
      </c>
      <c r="AX57">
        <f t="shared" si="86"/>
        <v>1.0000000147941037</v>
      </c>
      <c r="AY57">
        <f t="shared" si="87"/>
        <v>1.7201222856311286E-4</v>
      </c>
      <c r="AZ57" t="str">
        <f t="shared" si="61"/>
        <v>1+0,0407177522200281i</v>
      </c>
      <c r="BA57">
        <f t="shared" si="88"/>
        <v>1.0008286243637576</v>
      </c>
      <c r="BB57">
        <f t="shared" si="89"/>
        <v>4.0695272111264912E-2</v>
      </c>
      <c r="BC57" s="41" t="str">
        <f t="shared" si="90"/>
        <v>-1,32209175047313+32,6076428910432i</v>
      </c>
      <c r="BD57">
        <f t="shared" si="91"/>
        <v>30.27352177447424</v>
      </c>
      <c r="BE57" s="43">
        <f t="shared" si="92"/>
        <v>92.321811763390613</v>
      </c>
      <c r="BF57" s="41" t="str">
        <f t="shared" si="93"/>
        <v>733,037354498416+1330,29966692674i</v>
      </c>
      <c r="BG57" s="20">
        <f t="shared" si="94"/>
        <v>63.630553065052041</v>
      </c>
      <c r="BH57" s="43">
        <f t="shared" si="95"/>
        <v>61.143840262381147</v>
      </c>
      <c r="BI57" s="41" t="str">
        <f t="shared" si="101"/>
        <v>2284,0048324217+4192,29335167991i</v>
      </c>
      <c r="BJ57" s="20">
        <f t="shared" si="97"/>
        <v>73.577824671203146</v>
      </c>
      <c r="BK57" s="43">
        <f t="shared" si="102"/>
        <v>61.417994096788377</v>
      </c>
      <c r="BL57">
        <f t="shared" si="99"/>
        <v>63.630553065052041</v>
      </c>
      <c r="BM57" s="43">
        <f t="shared" si="100"/>
        <v>61.143840262381147</v>
      </c>
    </row>
    <row r="58" spans="1:65" x14ac:dyDescent="0.25">
      <c r="A58" t="s">
        <v>180</v>
      </c>
      <c r="B58" s="3">
        <f>RCOMP</f>
        <v>80000</v>
      </c>
      <c r="C58" s="2" t="s">
        <v>36</v>
      </c>
      <c r="E58" t="s">
        <v>186</v>
      </c>
      <c r="N58" s="9">
        <v>40</v>
      </c>
      <c r="O58" s="34">
        <f t="shared" si="62"/>
        <v>25.118864315095799</v>
      </c>
      <c r="P58" s="33" t="str">
        <f t="shared" si="50"/>
        <v>54,631621870174</v>
      </c>
      <c r="Q58" s="4" t="str">
        <f t="shared" si="63"/>
        <v>1+0,629037183403i</v>
      </c>
      <c r="R58" s="4">
        <f t="shared" si="64"/>
        <v>1.1813923049112769</v>
      </c>
      <c r="S58" s="4">
        <f t="shared" si="65"/>
        <v>0.56149719224363248</v>
      </c>
      <c r="T58" s="4" t="str">
        <f t="shared" si="51"/>
        <v>1+0,0078913239598824i</v>
      </c>
      <c r="U58" s="4">
        <f t="shared" si="66"/>
        <v>1.0000311360121943</v>
      </c>
      <c r="V58" s="4">
        <f t="shared" si="67"/>
        <v>7.8911601605464073E-3</v>
      </c>
      <c r="W58" t="str">
        <f t="shared" si="52"/>
        <v>1-0,000628045039121218i</v>
      </c>
      <c r="X58" s="4">
        <f t="shared" si="68"/>
        <v>1.0000001972202661</v>
      </c>
      <c r="Y58" s="4">
        <f t="shared" si="69"/>
        <v>-6.2804495654575625E-4</v>
      </c>
      <c r="Z58" t="str">
        <f t="shared" si="53"/>
        <v>0,999999997476171+0,0000862883087202094i</v>
      </c>
      <c r="AA58" s="4">
        <f t="shared" si="70"/>
        <v>1.0000000011990069</v>
      </c>
      <c r="AB58" s="4">
        <f t="shared" si="71"/>
        <v>8.6288308723828184E-5</v>
      </c>
      <c r="AC58" s="47" t="str">
        <f t="shared" si="72"/>
        <v>39,3200879424567-24,3417067585036i</v>
      </c>
      <c r="AD58" s="20">
        <f t="shared" si="73"/>
        <v>33.3012712634564</v>
      </c>
      <c r="AE58" s="43">
        <f t="shared" si="74"/>
        <v>-31.760217432610673</v>
      </c>
      <c r="AF58" t="str">
        <f t="shared" si="54"/>
        <v>171,265703090588</v>
      </c>
      <c r="AG58" t="str">
        <f t="shared" si="55"/>
        <v>1+0,623017286589673i</v>
      </c>
      <c r="AH58">
        <f t="shared" si="75"/>
        <v>1.1781980051712695</v>
      </c>
      <c r="AI58">
        <f t="shared" si="76"/>
        <v>0.55717227322282747</v>
      </c>
      <c r="AJ58" t="str">
        <f t="shared" si="56"/>
        <v>1+0,0078913239598824i</v>
      </c>
      <c r="AK58">
        <f t="shared" si="77"/>
        <v>1.0000311360121943</v>
      </c>
      <c r="AL58">
        <f t="shared" si="78"/>
        <v>7.8911601605464073E-3</v>
      </c>
      <c r="AM58" t="str">
        <f t="shared" si="57"/>
        <v>1-0,000198421123841008i</v>
      </c>
      <c r="AN58">
        <f t="shared" si="79"/>
        <v>1.000000019685471</v>
      </c>
      <c r="AO58">
        <f t="shared" si="80"/>
        <v>-1.984211212369992E-4</v>
      </c>
      <c r="AP58" s="41" t="str">
        <f t="shared" si="81"/>
        <v>123,968410197024-75,9169321307635i</v>
      </c>
      <c r="AQ58">
        <f t="shared" si="82"/>
        <v>43.249312984717776</v>
      </c>
      <c r="AR58" s="43">
        <f t="shared" si="83"/>
        <v>-31.48285823753012</v>
      </c>
      <c r="AS58" t="str">
        <f t="shared" si="58"/>
        <v>-0,0000166666666666667</v>
      </c>
      <c r="AT58" t="str">
        <f t="shared" si="59"/>
        <v>5,23036952061004E-07i</v>
      </c>
      <c r="AU58">
        <f t="shared" si="84"/>
        <v>5.2303695206100396E-7</v>
      </c>
      <c r="AV58">
        <f t="shared" si="85"/>
        <v>1.5707963267948966</v>
      </c>
      <c r="AW58" t="str">
        <f t="shared" si="60"/>
        <v>1+0,000176018909811257i</v>
      </c>
      <c r="AX58">
        <f t="shared" si="86"/>
        <v>1.0000000154913282</v>
      </c>
      <c r="AY58">
        <f t="shared" si="87"/>
        <v>1.7601890799341253E-4</v>
      </c>
      <c r="AZ58" t="str">
        <f t="shared" si="61"/>
        <v>1+0,0416661905081791i</v>
      </c>
      <c r="BA58">
        <f t="shared" si="88"/>
        <v>1.0008676592994019</v>
      </c>
      <c r="BB58">
        <f t="shared" si="89"/>
        <v>4.1642103765322791E-2</v>
      </c>
      <c r="BC58" s="41" t="str">
        <f t="shared" si="90"/>
        <v>-1,32209174862955+31,8654127945792i</v>
      </c>
      <c r="BD58">
        <f t="shared" si="91"/>
        <v>30.073860534239824</v>
      </c>
      <c r="BE58" s="43">
        <f t="shared" si="92"/>
        <v>92.375831655256306</v>
      </c>
      <c r="BF58" s="41" t="str">
        <f t="shared" si="93"/>
        <v>723,673770160205+1285,13280305852i</v>
      </c>
      <c r="BG58" s="20">
        <f t="shared" si="94"/>
        <v>63.375131797696241</v>
      </c>
      <c r="BH58" s="43">
        <f t="shared" si="95"/>
        <v>60.615614222645704</v>
      </c>
      <c r="BI58" s="41" t="str">
        <f t="shared" si="101"/>
        <v>2255,22676823262+4050,67371396724i</v>
      </c>
      <c r="BJ58" s="20">
        <f t="shared" si="97"/>
        <v>73.323173518957589</v>
      </c>
      <c r="BK58" s="43">
        <f t="shared" si="102"/>
        <v>60.892973417726203</v>
      </c>
      <c r="BL58">
        <f t="shared" si="99"/>
        <v>63.375131797696241</v>
      </c>
      <c r="BM58" s="43">
        <f t="shared" si="100"/>
        <v>60.615614222645704</v>
      </c>
    </row>
    <row r="59" spans="1:65" x14ac:dyDescent="0.25">
      <c r="A59" t="s">
        <v>184</v>
      </c>
      <c r="B59" s="3">
        <f>CCOMP</f>
        <v>3.3000000000000002E-9</v>
      </c>
      <c r="C59" s="2" t="s">
        <v>162</v>
      </c>
      <c r="E59" t="s">
        <v>187</v>
      </c>
      <c r="N59" s="9">
        <v>41</v>
      </c>
      <c r="O59" s="34">
        <f t="shared" si="62"/>
        <v>25.703957827688647</v>
      </c>
      <c r="P59" s="33" t="str">
        <f t="shared" si="50"/>
        <v>54,631621870174</v>
      </c>
      <c r="Q59" s="4" t="str">
        <f t="shared" si="63"/>
        <v>1+0,643689341660312i</v>
      </c>
      <c r="R59" s="4">
        <f t="shared" si="64"/>
        <v>1.1892585793539965</v>
      </c>
      <c r="S59" s="4">
        <f t="shared" si="65"/>
        <v>0.57192610519487042</v>
      </c>
      <c r="T59" s="4" t="str">
        <f t="shared" si="51"/>
        <v>1+0,00807513650796485i</v>
      </c>
      <c r="U59" s="4">
        <f t="shared" si="66"/>
        <v>1.0000326033833207</v>
      </c>
      <c r="V59" s="4">
        <f t="shared" si="67"/>
        <v>8.074960994123196E-3</v>
      </c>
      <c r="W59" t="str">
        <f t="shared" si="52"/>
        <v>1-0,000642674087369433i</v>
      </c>
      <c r="X59" s="4">
        <f t="shared" si="68"/>
        <v>1.00000020651497</v>
      </c>
      <c r="Y59" s="4">
        <f t="shared" si="69"/>
        <v>-6.4267399888823251E-4</v>
      </c>
      <c r="Z59" t="str">
        <f t="shared" si="53"/>
        <v>0,999999997357226+0,0000882982216291483i</v>
      </c>
      <c r="AA59" s="4">
        <f t="shared" si="70"/>
        <v>1.0000000012555139</v>
      </c>
      <c r="AB59" s="4">
        <f t="shared" si="71"/>
        <v>8.8298221633025952E-5</v>
      </c>
      <c r="AC59" s="47" t="str">
        <f t="shared" si="72"/>
        <v>38,8098765222084-24,5802802941429i</v>
      </c>
      <c r="AD59" s="20">
        <f t="shared" si="73"/>
        <v>33.24364098074804</v>
      </c>
      <c r="AE59" s="43">
        <f t="shared" si="74"/>
        <v>-32.348172459502386</v>
      </c>
      <c r="AF59" t="str">
        <f t="shared" si="54"/>
        <v>171,265703090588</v>
      </c>
      <c r="AG59" t="str">
        <f t="shared" si="55"/>
        <v>1+0,637529223436981i</v>
      </c>
      <c r="AH59">
        <f t="shared" si="75"/>
        <v>1.1859357110468343</v>
      </c>
      <c r="AI59">
        <f t="shared" si="76"/>
        <v>0.56755840331149154</v>
      </c>
      <c r="AJ59" t="str">
        <f t="shared" si="56"/>
        <v>1+0,00807513650796485i</v>
      </c>
      <c r="AK59">
        <f t="shared" si="77"/>
        <v>1.0000326033833207</v>
      </c>
      <c r="AL59">
        <f t="shared" si="78"/>
        <v>8.074960994123196E-3</v>
      </c>
      <c r="AM59" t="str">
        <f t="shared" si="57"/>
        <v>1-0,000203042945546975i</v>
      </c>
      <c r="AN59">
        <f t="shared" si="79"/>
        <v>1.0000000206132187</v>
      </c>
      <c r="AO59">
        <f t="shared" si="80"/>
        <v>-2.030429427567293E-4</v>
      </c>
      <c r="AP59" s="41" t="str">
        <f t="shared" si="81"/>
        <v>122,383524118206-76,6748534537983i</v>
      </c>
      <c r="AQ59">
        <f t="shared" si="82"/>
        <v>43.192468463762751</v>
      </c>
      <c r="AR59" s="43">
        <f t="shared" si="83"/>
        <v>-32.067673455916058</v>
      </c>
      <c r="AS59" t="str">
        <f t="shared" si="58"/>
        <v>-0,0000166666666666667</v>
      </c>
      <c r="AT59" t="str">
        <f t="shared" si="59"/>
        <v>5,3522004774791E-07i</v>
      </c>
      <c r="AU59">
        <f t="shared" si="84"/>
        <v>5.3522004774791004E-7</v>
      </c>
      <c r="AV59">
        <f t="shared" si="85"/>
        <v>1.5707963267948966</v>
      </c>
      <c r="AW59" t="str">
        <f t="shared" si="60"/>
        <v>1+0,000180118916918757i</v>
      </c>
      <c r="AX59">
        <f t="shared" si="86"/>
        <v>1.000000016221412</v>
      </c>
      <c r="AY59">
        <f t="shared" si="87"/>
        <v>1.8011891497090159E-4</v>
      </c>
      <c r="AZ59" t="str">
        <f t="shared" si="61"/>
        <v>1+0,0426367207620544i</v>
      </c>
      <c r="BA59">
        <f t="shared" si="88"/>
        <v>1.0009085322632341</v>
      </c>
      <c r="BB59">
        <f t="shared" si="89"/>
        <v>4.2610912617202755E-2</v>
      </c>
      <c r="BC59" s="41" t="str">
        <f t="shared" si="90"/>
        <v>-1,32209174669907+31,1400781617676i</v>
      </c>
      <c r="BD59">
        <f t="shared" si="91"/>
        <v>29.874215230941225</v>
      </c>
      <c r="BE59" s="43">
        <f t="shared" si="92"/>
        <v>92.431105400528153</v>
      </c>
      <c r="BF59" s="41" t="str">
        <f t="shared" si="93"/>
        <v>714,121632157344+1241,03997405855i</v>
      </c>
      <c r="BG59" s="20">
        <f t="shared" si="94"/>
        <v>63.117856211689244</v>
      </c>
      <c r="BH59" s="43">
        <f t="shared" si="95"/>
        <v>60.082932941025653</v>
      </c>
      <c r="BI59" s="41" t="str">
        <f t="shared" si="101"/>
        <v>2225,85868242473+3912,40369768413i</v>
      </c>
      <c r="BJ59" s="20">
        <f t="shared" si="97"/>
        <v>73.066683694703983</v>
      </c>
      <c r="BK59" s="43">
        <f t="shared" si="102"/>
        <v>60.363431944612074</v>
      </c>
      <c r="BL59">
        <f t="shared" si="99"/>
        <v>63.117856211689244</v>
      </c>
      <c r="BM59" s="43">
        <f t="shared" si="100"/>
        <v>60.082932941025653</v>
      </c>
    </row>
    <row r="60" spans="1:65" x14ac:dyDescent="0.25">
      <c r="A60" t="s">
        <v>185</v>
      </c>
      <c r="B60" s="3">
        <f>CHF</f>
        <v>1.4E-11</v>
      </c>
      <c r="C60" s="2" t="s">
        <v>162</v>
      </c>
      <c r="E60" t="s">
        <v>188</v>
      </c>
      <c r="N60" s="9">
        <v>42</v>
      </c>
      <c r="O60" s="34">
        <f t="shared" si="62"/>
        <v>26.302679918953825</v>
      </c>
      <c r="P60" s="33" t="str">
        <f t="shared" si="50"/>
        <v>54,631621870174</v>
      </c>
      <c r="Q60" s="4" t="str">
        <f t="shared" si="63"/>
        <v>1+0,658682792526809i</v>
      </c>
      <c r="R60" s="4">
        <f t="shared" si="64"/>
        <v>1.1974401952377061</v>
      </c>
      <c r="S60" s="4">
        <f t="shared" si="65"/>
        <v>0.58245492030666379</v>
      </c>
      <c r="T60" s="4" t="str">
        <f t="shared" si="51"/>
        <v>1+0,0082632306003109i</v>
      </c>
      <c r="U60" s="4">
        <f t="shared" si="66"/>
        <v>1.0000341399072104</v>
      </c>
      <c r="V60" s="4">
        <f t="shared" si="67"/>
        <v>8.2630425341879855E-3</v>
      </c>
      <c r="W60" t="str">
        <f t="shared" si="52"/>
        <v>1-0,000657643889925569i</v>
      </c>
      <c r="X60" s="4">
        <f t="shared" si="68"/>
        <v>1.0000002162477195</v>
      </c>
      <c r="Y60" s="4">
        <f t="shared" si="69"/>
        <v>-6.5764379511625568E-4</v>
      </c>
      <c r="Z60" t="str">
        <f t="shared" si="53"/>
        <v>0,999999997232676+0,0000903549514239603i</v>
      </c>
      <c r="AA60" s="4">
        <f t="shared" si="70"/>
        <v>1.0000000013146844</v>
      </c>
      <c r="AB60" s="4">
        <f t="shared" si="71"/>
        <v>9.0354951428115257E-5</v>
      </c>
      <c r="AC60" s="47" t="str">
        <f t="shared" si="72"/>
        <v>38,2898436629098-24,8102918786323i</v>
      </c>
      <c r="AD60" s="20">
        <f t="shared" si="73"/>
        <v>33.184103626910371</v>
      </c>
      <c r="AE60" s="43">
        <f t="shared" si="74"/>
        <v>-32.941628398312595</v>
      </c>
      <c r="AF60" t="str">
        <f t="shared" si="54"/>
        <v>171,265703090588</v>
      </c>
      <c r="AG60" t="str">
        <f t="shared" si="55"/>
        <v>1+0,652379186717253i</v>
      </c>
      <c r="AH60">
        <f t="shared" si="75"/>
        <v>1.1939843396216989</v>
      </c>
      <c r="AI60">
        <f t="shared" si="76"/>
        <v>0.57804594170275547</v>
      </c>
      <c r="AJ60" t="str">
        <f t="shared" si="56"/>
        <v>1+0,0082632306003109i</v>
      </c>
      <c r="AK60">
        <f t="shared" si="77"/>
        <v>1.0000341399072104</v>
      </c>
      <c r="AL60">
        <f t="shared" si="78"/>
        <v>8.2630425341879855E-3</v>
      </c>
      <c r="AM60" t="str">
        <f t="shared" si="57"/>
        <v>1-0,000207772423310262i</v>
      </c>
      <c r="AN60">
        <f t="shared" si="79"/>
        <v>1.0000000215846896</v>
      </c>
      <c r="AO60">
        <f t="shared" si="80"/>
        <v>-2.0777242032045986E-4</v>
      </c>
      <c r="AP60" s="41" t="str">
        <f t="shared" si="81"/>
        <v>120,767539004821-77,4066051694083i</v>
      </c>
      <c r="AQ60">
        <f t="shared" si="82"/>
        <v>43.133732141729752</v>
      </c>
      <c r="AR60" s="43">
        <f t="shared" si="83"/>
        <v>-32.658059843870596</v>
      </c>
      <c r="AS60" t="str">
        <f t="shared" si="58"/>
        <v>-0,0000166666666666667</v>
      </c>
      <c r="AT60" t="str">
        <f t="shared" si="59"/>
        <v>5,47686924188607E-07i</v>
      </c>
      <c r="AU60">
        <f t="shared" si="84"/>
        <v>5.4768692418860699E-7</v>
      </c>
      <c r="AV60">
        <f t="shared" si="85"/>
        <v>1.5707963267948966</v>
      </c>
      <c r="AW60" t="str">
        <f t="shared" si="60"/>
        <v>1+0,000184314425460163i</v>
      </c>
      <c r="AX60">
        <f t="shared" si="86"/>
        <v>1.0000000169859036</v>
      </c>
      <c r="AY60">
        <f t="shared" si="87"/>
        <v>1.8431442337299832E-4</v>
      </c>
      <c r="AZ60" t="str">
        <f t="shared" si="61"/>
        <v>1+0,0436298575696415i</v>
      </c>
      <c r="BA60">
        <f t="shared" si="88"/>
        <v>1.0009513297216539</v>
      </c>
      <c r="BB60">
        <f t="shared" si="89"/>
        <v>4.3602205063518133E-2</v>
      </c>
      <c r="BC60" s="41" t="str">
        <f t="shared" si="90"/>
        <v>-1,32209174467761+30,4312544105849i</v>
      </c>
      <c r="BD60">
        <f t="shared" si="91"/>
        <v>29.674586612935812</v>
      </c>
      <c r="BE60" s="43">
        <f t="shared" si="92"/>
        <v>92.487661889040865</v>
      </c>
      <c r="BF60" s="41" t="str">
        <f t="shared" si="93"/>
        <v>704,385617947798+1198,00945592331i</v>
      </c>
      <c r="BG60" s="20">
        <f t="shared" si="94"/>
        <v>62.858690239846176</v>
      </c>
      <c r="BH60" s="43">
        <f t="shared" si="95"/>
        <v>59.546033490728249</v>
      </c>
      <c r="BI60" s="41" t="str">
        <f t="shared" si="101"/>
        <v>2195,91432862665+3777,44633767394i</v>
      </c>
      <c r="BJ60" s="20">
        <f t="shared" si="97"/>
        <v>72.808318754665564</v>
      </c>
      <c r="BK60" s="43">
        <f t="shared" si="102"/>
        <v>59.829602045170347</v>
      </c>
      <c r="BL60">
        <f t="shared" si="99"/>
        <v>62.858690239846176</v>
      </c>
      <c r="BM60" s="43">
        <f t="shared" si="100"/>
        <v>59.546033490728249</v>
      </c>
    </row>
    <row r="61" spans="1:65" x14ac:dyDescent="0.25">
      <c r="N61" s="9">
        <v>43</v>
      </c>
      <c r="O61" s="34">
        <f t="shared" si="62"/>
        <v>26.915348039269158</v>
      </c>
      <c r="P61" s="33" t="str">
        <f t="shared" si="50"/>
        <v>54,631621870174</v>
      </c>
      <c r="Q61" s="4" t="str">
        <f t="shared" si="63"/>
        <v>1+0,674025485728602i</v>
      </c>
      <c r="R61" s="4">
        <f t="shared" si="64"/>
        <v>1.2059479074204149</v>
      </c>
      <c r="S61" s="4">
        <f t="shared" si="65"/>
        <v>0.59307988245463672</v>
      </c>
      <c r="T61" s="4" t="str">
        <f t="shared" si="51"/>
        <v>1+0,00845570596689805i</v>
      </c>
      <c r="U61" s="4">
        <f t="shared" si="66"/>
        <v>1.0000357488427094</v>
      </c>
      <c r="V61" s="4">
        <f t="shared" si="67"/>
        <v>8.4555044508057495E-3</v>
      </c>
      <c r="W61" t="str">
        <f t="shared" si="52"/>
        <v>1-0,000672962383977092i</v>
      </c>
      <c r="X61" s="4">
        <f t="shared" si="68"/>
        <v>1.0000002264391594</v>
      </c>
      <c r="Y61" s="4">
        <f t="shared" si="69"/>
        <v>-6.729622823870837E-4</v>
      </c>
      <c r="Z61" t="str">
        <f t="shared" si="53"/>
        <v>0,999999997102256+0,0000924595886100067i</v>
      </c>
      <c r="AA61" s="4">
        <f t="shared" si="70"/>
        <v>1.0000000013766437</v>
      </c>
      <c r="AB61" s="4">
        <f t="shared" si="71"/>
        <v>9.2459588614458827E-5</v>
      </c>
      <c r="AC61" s="47" t="str">
        <f t="shared" si="72"/>
        <v>37,7602701248016-25,0312517559933i</v>
      </c>
      <c r="AD61" s="20">
        <f t="shared" si="73"/>
        <v>33.122623370089542</v>
      </c>
      <c r="AE61" s="43">
        <f t="shared" si="74"/>
        <v>-33.540364902835798</v>
      </c>
      <c r="AF61" t="str">
        <f t="shared" si="54"/>
        <v>171,265703090588</v>
      </c>
      <c r="AG61" t="str">
        <f t="shared" si="55"/>
        <v>1+0,667575050077584i</v>
      </c>
      <c r="AH61">
        <f t="shared" si="75"/>
        <v>1.2023545431718918</v>
      </c>
      <c r="AI61">
        <f t="shared" si="76"/>
        <v>0.58863122073747709</v>
      </c>
      <c r="AJ61" t="str">
        <f t="shared" si="56"/>
        <v>1+0,00845570596689805i</v>
      </c>
      <c r="AK61">
        <f t="shared" si="77"/>
        <v>1.0000357488427094</v>
      </c>
      <c r="AL61">
        <f t="shared" si="78"/>
        <v>8.4555044508057495E-3</v>
      </c>
      <c r="AM61" t="str">
        <f t="shared" si="57"/>
        <v>1-0,000212612064762582i</v>
      </c>
      <c r="AN61">
        <f t="shared" si="79"/>
        <v>1.0000000226019448</v>
      </c>
      <c r="AO61">
        <f t="shared" si="80"/>
        <v>-2.1261206155895129E-4</v>
      </c>
      <c r="AP61" s="41" t="str">
        <f t="shared" si="81"/>
        <v>119,121293690634-78,1106443280406i</v>
      </c>
      <c r="AQ61">
        <f t="shared" si="82"/>
        <v>43.073067762401386</v>
      </c>
      <c r="AR61" s="43">
        <f t="shared" si="83"/>
        <v>-33.253801693006629</v>
      </c>
      <c r="AS61" t="str">
        <f t="shared" si="58"/>
        <v>-0,0000166666666666667</v>
      </c>
      <c r="AT61" t="str">
        <f t="shared" si="59"/>
        <v>5,60444191486002E-07i</v>
      </c>
      <c r="AU61">
        <f t="shared" si="84"/>
        <v>5.6044419148600195E-7</v>
      </c>
      <c r="AV61">
        <f t="shared" si="85"/>
        <v>1.5707963267948966</v>
      </c>
      <c r="AW61" t="str">
        <f t="shared" si="60"/>
        <v>1+0,000188607659949639i</v>
      </c>
      <c r="AX61">
        <f t="shared" si="86"/>
        <v>1.0000000177864246</v>
      </c>
      <c r="AY61">
        <f t="shared" si="87"/>
        <v>1.8860765771320175E-4</v>
      </c>
      <c r="AZ61" t="str">
        <f t="shared" si="61"/>
        <v>1+0,0446461275052217i</v>
      </c>
      <c r="BA61">
        <f t="shared" si="88"/>
        <v>1.0009961422009639</v>
      </c>
      <c r="BB61">
        <f t="shared" si="89"/>
        <v>4.4616498903373637E-2</v>
      </c>
      <c r="BC61" s="41" t="str">
        <f t="shared" si="90"/>
        <v>-1,32209174256089+29,7385657132959i</v>
      </c>
      <c r="BD61">
        <f t="shared" si="91"/>
        <v>29.474975463587697</v>
      </c>
      <c r="BE61" s="43">
        <f t="shared" si="92"/>
        <v>92.545530661042562</v>
      </c>
      <c r="BF61" s="41" t="str">
        <f t="shared" si="93"/>
        <v>694,470983902791+1156,02988571078i</v>
      </c>
      <c r="BG61" s="20">
        <f t="shared" si="94"/>
        <v>62.597598833677253</v>
      </c>
      <c r="BH61" s="43">
        <f t="shared" si="95"/>
        <v>59.005165758206815</v>
      </c>
      <c r="BI61" s="41" t="str">
        <f t="shared" si="101"/>
        <v>2165,40925050576+3645,76585814395i</v>
      </c>
      <c r="BJ61" s="20">
        <f t="shared" si="97"/>
        <v>72.548043225989076</v>
      </c>
      <c r="BK61" s="43">
        <f t="shared" si="102"/>
        <v>59.291728968035926</v>
      </c>
      <c r="BL61">
        <f t="shared" si="99"/>
        <v>62.597598833677253</v>
      </c>
      <c r="BM61" s="43">
        <f t="shared" si="100"/>
        <v>59.005165758206815</v>
      </c>
    </row>
    <row r="62" spans="1:65" x14ac:dyDescent="0.25">
      <c r="A62" t="s">
        <v>227</v>
      </c>
      <c r="B62" s="1">
        <f>(-gm_ea)/Kfb</f>
        <v>-1.6666666666666667E-5</v>
      </c>
      <c r="C62" t="s">
        <v>150</v>
      </c>
      <c r="N62" s="9">
        <v>44</v>
      </c>
      <c r="O62" s="34">
        <f t="shared" si="62"/>
        <v>27.542287033381665</v>
      </c>
      <c r="P62" s="33" t="str">
        <f t="shared" si="50"/>
        <v>54,631621870174</v>
      </c>
      <c r="Q62" s="4" t="str">
        <f t="shared" si="63"/>
        <v>1+0,689725556164712i</v>
      </c>
      <c r="R62" s="4">
        <f t="shared" si="64"/>
        <v>1.2147927159917948</v>
      </c>
      <c r="S62" s="4">
        <f t="shared" si="65"/>
        <v>0.60379702943885671</v>
      </c>
      <c r="T62" s="4" t="str">
        <f t="shared" si="51"/>
        <v>1+0,00865266466071335i</v>
      </c>
      <c r="U62" s="4">
        <f t="shared" si="66"/>
        <v>1.0000374336022282</v>
      </c>
      <c r="V62" s="4">
        <f t="shared" si="67"/>
        <v>8.6524487327666669E-3</v>
      </c>
      <c r="W62" t="str">
        <f t="shared" si="52"/>
        <v>1-0,000688637691592309i</v>
      </c>
      <c r="X62" s="4">
        <f t="shared" si="68"/>
        <v>1.0000002371109069</v>
      </c>
      <c r="Y62" s="4">
        <f t="shared" si="69"/>
        <v>-6.8863758273665534E-4</v>
      </c>
      <c r="Z62" t="str">
        <f t="shared" si="53"/>
        <v>0,99999999696569+0,0000946132490937814i</v>
      </c>
      <c r="AA62" s="4">
        <f t="shared" si="70"/>
        <v>1.0000000014415233</v>
      </c>
      <c r="AB62" s="4">
        <f t="shared" si="71"/>
        <v>9.4613249098551909E-5</v>
      </c>
      <c r="AC62" s="47" t="str">
        <f t="shared" si="72"/>
        <v>37,2214676494453-25,2426786744467i</v>
      </c>
      <c r="AD62" s="20">
        <f t="shared" si="73"/>
        <v>33.059165476856116</v>
      </c>
      <c r="AE62" s="43">
        <f t="shared" si="74"/>
        <v>-34.144149641506253</v>
      </c>
      <c r="AF62" t="str">
        <f t="shared" si="54"/>
        <v>171,265703090588</v>
      </c>
      <c r="AG62" t="str">
        <f t="shared" si="55"/>
        <v>1+0,683124870565866i</v>
      </c>
      <c r="AH62">
        <f t="shared" si="75"/>
        <v>1.2110572194515135</v>
      </c>
      <c r="AI62">
        <f t="shared" si="76"/>
        <v>0.59931036425096207</v>
      </c>
      <c r="AJ62" t="str">
        <f t="shared" si="56"/>
        <v>1+0,00865266466071335i</v>
      </c>
      <c r="AK62">
        <f t="shared" si="77"/>
        <v>1.0000374336022282</v>
      </c>
      <c r="AL62">
        <f t="shared" si="78"/>
        <v>8.6524487327666669E-3</v>
      </c>
      <c r="AM62" t="str">
        <f t="shared" si="57"/>
        <v>1-0,000217564435945892i</v>
      </c>
      <c r="AN62">
        <f t="shared" si="79"/>
        <v>1.0000000236671416</v>
      </c>
      <c r="AO62">
        <f t="shared" si="80"/>
        <v>-2.1756443251313984E-4</v>
      </c>
      <c r="AP62" s="41" t="str">
        <f t="shared" si="81"/>
        <v>117,445724033719-78,7854516584145i</v>
      </c>
      <c r="AQ62">
        <f t="shared" si="82"/>
        <v>43.010440120061077</v>
      </c>
      <c r="AR62" s="43">
        <f t="shared" si="83"/>
        <v>-33.854671218942549</v>
      </c>
      <c r="AS62" t="str">
        <f t="shared" si="58"/>
        <v>-0,0000166666666666667</v>
      </c>
      <c r="AT62" t="str">
        <f t="shared" si="59"/>
        <v>5,73498613712079E-07i</v>
      </c>
      <c r="AU62">
        <f t="shared" si="84"/>
        <v>5.7349861371207904E-7</v>
      </c>
      <c r="AV62">
        <f t="shared" si="85"/>
        <v>1.5707963267948966</v>
      </c>
      <c r="AW62" t="str">
        <f t="shared" si="60"/>
        <v>1+0,000193000896716937i</v>
      </c>
      <c r="AX62">
        <f t="shared" si="86"/>
        <v>1.0000000186246729</v>
      </c>
      <c r="AY62">
        <f t="shared" si="87"/>
        <v>1.9300089432055132E-4</v>
      </c>
      <c r="AZ62" t="str">
        <f t="shared" si="61"/>
        <v>1+0,0456860694085665i</v>
      </c>
      <c r="BA62">
        <f t="shared" si="88"/>
        <v>1.0010430644772503</v>
      </c>
      <c r="BB62">
        <f t="shared" si="89"/>
        <v>4.5654323576056643E-2</v>
      </c>
      <c r="BC62" s="41" t="str">
        <f t="shared" si="90"/>
        <v>-1,32209174034441+29,0616447971846i</v>
      </c>
      <c r="BD62">
        <f t="shared" si="91"/>
        <v>29.275382602892229</v>
      </c>
      <c r="BE62" s="43">
        <f t="shared" si="92"/>
        <v>92.604741920745823</v>
      </c>
      <c r="BF62" s="41" t="str">
        <f t="shared" si="93"/>
        <v>684,383566423408+1115,09020863773i</v>
      </c>
      <c r="BG62" s="20">
        <f t="shared" si="94"/>
        <v>62.334548079748338</v>
      </c>
      <c r="BH62" s="43">
        <f t="shared" si="95"/>
        <v>58.460592279239577</v>
      </c>
      <c r="BI62" s="41" t="str">
        <f t="shared" si="101"/>
        <v>2134,36078959885+3517,327509713i</v>
      </c>
      <c r="BJ62" s="20">
        <f t="shared" si="97"/>
        <v>72.285822722953299</v>
      </c>
      <c r="BK62" s="43">
        <f t="shared" si="102"/>
        <v>58.750070701803288</v>
      </c>
      <c r="BL62">
        <f t="shared" si="99"/>
        <v>62.334548079748338</v>
      </c>
      <c r="BM62" s="43">
        <f t="shared" si="100"/>
        <v>58.460592279239577</v>
      </c>
    </row>
    <row r="63" spans="1:65" x14ac:dyDescent="0.25">
      <c r="A63" t="s">
        <v>226</v>
      </c>
      <c r="B63" s="1">
        <f>1/(RCOMP*CCOMP)</f>
        <v>3787.8787878787875</v>
      </c>
      <c r="E63" t="s">
        <v>240</v>
      </c>
      <c r="N63" s="9">
        <v>45</v>
      </c>
      <c r="O63" s="34">
        <f t="shared" si="62"/>
        <v>28.183829312644548</v>
      </c>
      <c r="P63" s="33" t="str">
        <f t="shared" si="50"/>
        <v>54,631621870174</v>
      </c>
      <c r="Q63" s="4" t="str">
        <f t="shared" si="63"/>
        <v>1+0,705791328220295i</v>
      </c>
      <c r="R63" s="4">
        <f t="shared" si="64"/>
        <v>1.2239858655192748</v>
      </c>
      <c r="S63" s="4">
        <f t="shared" si="65"/>
        <v>0.61460219609657674</v>
      </c>
      <c r="T63" s="4" t="str">
        <f t="shared" si="51"/>
        <v>1+0,0088542111118633i</v>
      </c>
      <c r="U63" s="4">
        <f t="shared" si="66"/>
        <v>1.0000391977589744</v>
      </c>
      <c r="V63" s="4">
        <f t="shared" si="67"/>
        <v>8.8539797413896872E-3</v>
      </c>
      <c r="W63" t="str">
        <f t="shared" si="52"/>
        <v>1-0,000704678124026805i</v>
      </c>
      <c r="X63" s="4">
        <f t="shared" si="68"/>
        <v>1.0000002482855985</v>
      </c>
      <c r="Y63" s="4">
        <f t="shared" si="69"/>
        <v>-7.0467800738587211E-4</v>
      </c>
      <c r="Z63" t="str">
        <f t="shared" si="53"/>
        <v>0,999999996822687+0,00009681707477458i</v>
      </c>
      <c r="AA63" s="4">
        <f t="shared" si="70"/>
        <v>1.0000000015094599</v>
      </c>
      <c r="AB63" s="4">
        <f t="shared" si="71"/>
        <v>9.6817074779691721E-5</v>
      </c>
      <c r="AC63" s="47" t="str">
        <f t="shared" si="72"/>
        <v>36,6737788321859-25,4441021777799i</v>
      </c>
      <c r="AD63" s="20">
        <f t="shared" si="73"/>
        <v>32.993696426820811</v>
      </c>
      <c r="AE63" s="43">
        <f t="shared" si="74"/>
        <v>-34.752738530238204</v>
      </c>
      <c r="AF63" t="str">
        <f t="shared" si="54"/>
        <v>171,265703090588</v>
      </c>
      <c r="AG63" t="str">
        <f t="shared" si="55"/>
        <v>1+0,699036892902748i</v>
      </c>
      <c r="AH63">
        <f t="shared" si="75"/>
        <v>1.2201035110346696</v>
      </c>
      <c r="AI63">
        <f t="shared" si="76"/>
        <v>0.61007929127926053</v>
      </c>
      <c r="AJ63" t="str">
        <f t="shared" si="56"/>
        <v>1+0,0088542111118633i</v>
      </c>
      <c r="AK63">
        <f t="shared" si="77"/>
        <v>1.0000391977589744</v>
      </c>
      <c r="AL63">
        <f t="shared" si="78"/>
        <v>8.8539797413896872E-3</v>
      </c>
      <c r="AM63" t="str">
        <f t="shared" si="57"/>
        <v>1-0,000222632162672946i</v>
      </c>
      <c r="AN63">
        <f t="shared" si="79"/>
        <v>1.0000000247825396</v>
      </c>
      <c r="AO63">
        <f t="shared" si="80"/>
        <v>-2.226321589946858E-4</v>
      </c>
      <c r="AP63" s="41" t="str">
        <f t="shared" si="81"/>
        <v>115,741862765362-79,4295386887597i</v>
      </c>
      <c r="AQ63">
        <f t="shared" si="82"/>
        <v>42.945815174244757</v>
      </c>
      <c r="AR63" s="43">
        <f t="shared" si="83"/>
        <v>-34.460428770652292</v>
      </c>
      <c r="AS63" t="str">
        <f t="shared" si="58"/>
        <v>-0,0000166666666666667</v>
      </c>
      <c r="AT63" t="str">
        <f t="shared" si="59"/>
        <v>5,86857112494298E-07i</v>
      </c>
      <c r="AU63">
        <f t="shared" si="84"/>
        <v>5.8685711249429805E-7</v>
      </c>
      <c r="AV63">
        <f t="shared" si="85"/>
        <v>1.5707963267948966</v>
      </c>
      <c r="AW63" t="str">
        <f t="shared" si="60"/>
        <v>1+0,000197496465114344i</v>
      </c>
      <c r="AX63">
        <f t="shared" si="86"/>
        <v>1.0000000195024268</v>
      </c>
      <c r="AY63">
        <f t="shared" si="87"/>
        <v>1.9749646254657048E-4</v>
      </c>
      <c r="AZ63" t="str">
        <f t="shared" si="61"/>
        <v>1+0,0467502346706382i</v>
      </c>
      <c r="BA63">
        <f t="shared" si="88"/>
        <v>1.0010921957750742</v>
      </c>
      <c r="BB63">
        <f t="shared" si="89"/>
        <v>4.6716220402294395E-2</v>
      </c>
      <c r="BC63" s="41" t="str">
        <f t="shared" si="90"/>
        <v>-1,32209173802347+28,4001327498209i</v>
      </c>
      <c r="BD63">
        <f t="shared" si="91"/>
        <v>29.07580888917467</v>
      </c>
      <c r="BE63" s="43">
        <f t="shared" si="92"/>
        <v>92.66532655008173</v>
      </c>
      <c r="BF63" s="41" t="str">
        <f t="shared" si="93"/>
        <v>674,129779552823+1075,17962454232i</v>
      </c>
      <c r="BG63" s="20">
        <f t="shared" si="94"/>
        <v>62.069505315995471</v>
      </c>
      <c r="BH63" s="43">
        <f t="shared" si="95"/>
        <v>57.912588019843575</v>
      </c>
      <c r="BI63" s="41" t="str">
        <f t="shared" si="101"/>
        <v>2102,78808251228+3392,09740410326i</v>
      </c>
      <c r="BJ63" s="20">
        <f t="shared" si="97"/>
        <v>72.021624063419424</v>
      </c>
      <c r="BK63" s="43">
        <f t="shared" si="102"/>
        <v>58.204897779429459</v>
      </c>
      <c r="BL63">
        <f t="shared" si="99"/>
        <v>62.069505315995471</v>
      </c>
      <c r="BM63" s="43">
        <f t="shared" si="100"/>
        <v>57.912588019843575</v>
      </c>
    </row>
    <row r="64" spans="1:65" x14ac:dyDescent="0.25">
      <c r="A64" t="s">
        <v>231</v>
      </c>
      <c r="B64" s="1">
        <f>(CCOMP+CHF)</f>
        <v>3.3140000000000003E-9</v>
      </c>
      <c r="E64" t="s">
        <v>241</v>
      </c>
      <c r="N64" s="9">
        <v>46</v>
      </c>
      <c r="O64" s="34">
        <f t="shared" si="62"/>
        <v>28.840315031266066</v>
      </c>
      <c r="P64" s="33" t="str">
        <f t="shared" si="50"/>
        <v>54,631621870174</v>
      </c>
      <c r="Q64" s="4" t="str">
        <f t="shared" si="63"/>
        <v>1+0,722231320180354i</v>
      </c>
      <c r="R64" s="4">
        <f t="shared" si="64"/>
        <v>1.2335388440780684</v>
      </c>
      <c r="S64" s="4">
        <f t="shared" si="65"/>
        <v>0.62549101939887508</v>
      </c>
      <c r="T64" s="4" t="str">
        <f t="shared" si="51"/>
        <v>1+0,0090604521829441i</v>
      </c>
      <c r="U64" s="4">
        <f t="shared" si="66"/>
        <v>1.0000410450545314</v>
      </c>
      <c r="V64" s="4">
        <f t="shared" si="67"/>
        <v>9.0602042655645171E-3</v>
      </c>
      <c r="W64" t="str">
        <f t="shared" si="52"/>
        <v>1-0,000721092186130178i</v>
      </c>
      <c r="X64" s="4">
        <f t="shared" si="68"/>
        <v>1.0000002599869366</v>
      </c>
      <c r="Y64" s="4">
        <f t="shared" si="69"/>
        <v>-7.2109206114716838E-4</v>
      </c>
      <c r="Z64" t="str">
        <f t="shared" si="53"/>
        <v>0,999999996672945+0,0000990722341499495i</v>
      </c>
      <c r="AA64" s="4">
        <f t="shared" si="70"/>
        <v>1.0000000015805988</v>
      </c>
      <c r="AB64" s="4">
        <f t="shared" si="71"/>
        <v>9.9072234155426781E-5</v>
      </c>
      <c r="AC64" s="47" t="str">
        <f t="shared" si="72"/>
        <v>36,1175767989955-25,6350649264034i</v>
      </c>
      <c r="AD64" s="20">
        <f t="shared" si="73"/>
        <v>32.926184026421204</v>
      </c>
      <c r="AE64" s="43">
        <f t="shared" si="74"/>
        <v>-35.365876021575879</v>
      </c>
      <c r="AF64" t="str">
        <f t="shared" si="54"/>
        <v>171,265703090588</v>
      </c>
      <c r="AG64" t="str">
        <f t="shared" si="55"/>
        <v>1+0,715319553853094i</v>
      </c>
      <c r="AH64">
        <f t="shared" si="75"/>
        <v>1.229504804433309</v>
      </c>
      <c r="AI64">
        <f t="shared" si="76"/>
        <v>0.62093372074338948</v>
      </c>
      <c r="AJ64" t="str">
        <f t="shared" si="56"/>
        <v>1+0,0090604521829441i</v>
      </c>
      <c r="AK64">
        <f t="shared" si="77"/>
        <v>1.0000410450545314</v>
      </c>
      <c r="AL64">
        <f t="shared" si="78"/>
        <v>9.0602042655645171E-3</v>
      </c>
      <c r="AM64" t="str">
        <f t="shared" si="57"/>
        <v>1-0,000227817931919535i</v>
      </c>
      <c r="AN64">
        <f t="shared" si="79"/>
        <v>1.0000000259505046</v>
      </c>
      <c r="AO64">
        <f t="shared" si="80"/>
        <v>-2.278179279782082E-4</v>
      </c>
      <c r="AP64" s="41" t="str">
        <f t="shared" si="81"/>
        <v>114,010838736673-80,04145498439i</v>
      </c>
      <c r="AQ64">
        <f t="shared" si="82"/>
        <v>42.87916016396246</v>
      </c>
      <c r="AR64" s="43">
        <f t="shared" si="83"/>
        <v>-35.070823095778294</v>
      </c>
      <c r="AS64" t="str">
        <f t="shared" si="58"/>
        <v>-0,0000166666666666667</v>
      </c>
      <c r="AT64" t="str">
        <f t="shared" si="59"/>
        <v>6,00526770685533E-07i</v>
      </c>
      <c r="AU64">
        <f t="shared" si="84"/>
        <v>6.0052677068553301E-7</v>
      </c>
      <c r="AV64">
        <f t="shared" si="85"/>
        <v>1.5707963267948966</v>
      </c>
      <c r="AW64" t="str">
        <f t="shared" si="60"/>
        <v>1+0,000202096748751728i</v>
      </c>
      <c r="AX64">
        <f t="shared" si="86"/>
        <v>1.0000000204215478</v>
      </c>
      <c r="AY64">
        <f t="shared" si="87"/>
        <v>2.020967460003091E-4</v>
      </c>
      <c r="AZ64" t="str">
        <f t="shared" si="61"/>
        <v>1+0,0478391875259448i</v>
      </c>
      <c r="BA64">
        <f t="shared" si="88"/>
        <v>1.0011436399753746</v>
      </c>
      <c r="BB64">
        <f t="shared" si="89"/>
        <v>4.7802742829020708E-2</v>
      </c>
      <c r="BC64" s="41" t="str">
        <f t="shared" si="90"/>
        <v>-1,32209173559315+27,7536788287616i</v>
      </c>
      <c r="BD64">
        <f t="shared" si="91"/>
        <v>28.876255220866668</v>
      </c>
      <c r="BE64" s="43">
        <f t="shared" si="92"/>
        <v>92.727316122652994</v>
      </c>
      <c r="BF64" s="41" t="str">
        <f t="shared" si="93"/>
        <v>663,716608926248+1036,28753403304i</v>
      </c>
      <c r="BG64" s="20">
        <f t="shared" si="94"/>
        <v>61.802439247287843</v>
      </c>
      <c r="BH64" s="43">
        <f t="shared" si="95"/>
        <v>57.361440101077022</v>
      </c>
      <c r="BI64" s="41" t="str">
        <f t="shared" si="101"/>
        <v>2070,71204696174+3270,04234743507i</v>
      </c>
      <c r="BJ64" s="20">
        <f t="shared" si="97"/>
        <v>71.755415384829135</v>
      </c>
      <c r="BK64" s="43">
        <f t="shared" si="102"/>
        <v>57.656493026874749</v>
      </c>
      <c r="BL64">
        <f t="shared" si="99"/>
        <v>61.802439247287843</v>
      </c>
      <c r="BM64" s="43">
        <f t="shared" si="100"/>
        <v>57.361440101077022</v>
      </c>
    </row>
    <row r="65" spans="1:65" x14ac:dyDescent="0.25">
      <c r="A65" t="s">
        <v>232</v>
      </c>
      <c r="B65" s="1">
        <f>(CCOMP+CHF)/(RCOMP*CHF*CCOMP)</f>
        <v>896645.02164502174</v>
      </c>
      <c r="E65" t="s">
        <v>242</v>
      </c>
      <c r="N65" s="9">
        <v>47</v>
      </c>
      <c r="O65" s="34">
        <f t="shared" si="62"/>
        <v>29.512092266663863</v>
      </c>
      <c r="P65" s="33" t="str">
        <f t="shared" si="50"/>
        <v>54,631621870174</v>
      </c>
      <c r="Q65" s="4" t="str">
        <f t="shared" si="63"/>
        <v>1+0,739054248746233i</v>
      </c>
      <c r="R65" s="4">
        <f t="shared" si="64"/>
        <v>1.2434633820864445</v>
      </c>
      <c r="S65" s="4">
        <f t="shared" si="65"/>
        <v>0.63645894453985996</v>
      </c>
      <c r="T65" s="4" t="str">
        <f t="shared" si="51"/>
        <v>1+0,00927149722570155i</v>
      </c>
      <c r="U65" s="4">
        <f t="shared" si="66"/>
        <v>1.0000429794067884</v>
      </c>
      <c r="V65" s="4">
        <f t="shared" si="67"/>
        <v>9.2712315780598357E-3</v>
      </c>
      <c r="W65" t="str">
        <f t="shared" si="52"/>
        <v>1-0,00073788858085542i</v>
      </c>
      <c r="X65" s="4">
        <f t="shared" si="68"/>
        <v>1.0000002722397419</v>
      </c>
      <c r="Y65" s="4">
        <f t="shared" si="69"/>
        <v>-7.3788844693371434E-4</v>
      </c>
      <c r="Z65" t="str">
        <f t="shared" si="53"/>
        <v>0,999999996516146+0,000101379922935241i</v>
      </c>
      <c r="AA65" s="4">
        <f t="shared" si="70"/>
        <v>1.0000000016550903</v>
      </c>
      <c r="AB65" s="4">
        <f t="shared" si="71"/>
        <v>1.0137992294110999E-4</v>
      </c>
      <c r="AC65" s="47" t="str">
        <f t="shared" si="72"/>
        <v>35,553264681049-25,8151250293105i</v>
      </c>
      <c r="AD65" s="20">
        <f t="shared" si="73"/>
        <v>32.856597521142092</v>
      </c>
      <c r="AE65" s="43">
        <f t="shared" si="74"/>
        <v>-35.983295450646288</v>
      </c>
      <c r="AF65" t="str">
        <f t="shared" si="54"/>
        <v>171,265703090588</v>
      </c>
      <c r="AG65" t="str">
        <f t="shared" si="55"/>
        <v>1+0,731981486699266i</v>
      </c>
      <c r="AH65">
        <f t="shared" si="75"/>
        <v>1.2392727290110388</v>
      </c>
      <c r="AI65">
        <f t="shared" si="76"/>
        <v>0.63186917712348245</v>
      </c>
      <c r="AJ65" t="str">
        <f t="shared" si="56"/>
        <v>1+0,00927149722570155i</v>
      </c>
      <c r="AK65">
        <f t="shared" si="77"/>
        <v>1.0000429794067884</v>
      </c>
      <c r="AL65">
        <f t="shared" si="78"/>
        <v>9.2712315780598357E-3</v>
      </c>
      <c r="AM65" t="str">
        <f t="shared" si="57"/>
        <v>1-0,000233124493249154i</v>
      </c>
      <c r="AN65">
        <f t="shared" si="79"/>
        <v>1.0000000271735143</v>
      </c>
      <c r="AO65">
        <f t="shared" si="80"/>
        <v>-2.3312448902594626E-4</v>
      </c>
      <c r="AP65" s="41" t="str">
        <f t="shared" si="81"/>
        <v>112,253875539684-80,6197954444741i</v>
      </c>
      <c r="AQ65">
        <f t="shared" si="82"/>
        <v>42.810443720665241</v>
      </c>
      <c r="AR65" s="43">
        <f t="shared" si="83"/>
        <v>-35.68559166259093</v>
      </c>
      <c r="AS65" t="str">
        <f t="shared" si="58"/>
        <v>-0,0000166666666666667</v>
      </c>
      <c r="AT65" t="str">
        <f t="shared" si="59"/>
        <v>6,14514836119498E-07i</v>
      </c>
      <c r="AU65">
        <f t="shared" si="84"/>
        <v>6.1451483611949796E-7</v>
      </c>
      <c r="AV65">
        <f t="shared" si="85"/>
        <v>1.5707963267948966</v>
      </c>
      <c r="AW65" t="str">
        <f t="shared" si="60"/>
        <v>1+0,000206804186760368i</v>
      </c>
      <c r="AX65">
        <f t="shared" si="86"/>
        <v>1.0000000213839855</v>
      </c>
      <c r="AY65">
        <f t="shared" si="87"/>
        <v>2.0680418381216953E-4</v>
      </c>
      <c r="AZ65" t="str">
        <f t="shared" si="61"/>
        <v>1+0,0489535053517042i</v>
      </c>
      <c r="BA65">
        <f t="shared" si="88"/>
        <v>1.0011975058329996</v>
      </c>
      <c r="BB65">
        <f t="shared" si="89"/>
        <v>4.8914456677586399E-2</v>
      </c>
      <c r="BC65" s="41" t="str">
        <f t="shared" si="90"/>
        <v>-1,32209173304828+27,1219402755802i</v>
      </c>
      <c r="BD65">
        <f t="shared" si="91"/>
        <v>28.676722538362679</v>
      </c>
      <c r="BE65" s="43">
        <f t="shared" si="92"/>
        <v>92.790742917883122</v>
      </c>
      <c r="BF65" s="41" t="str">
        <f t="shared" si="93"/>
        <v>653,151601933903+998,403484670165i</v>
      </c>
      <c r="BG65" s="20">
        <f t="shared" si="94"/>
        <v>61.533320059504774</v>
      </c>
      <c r="BH65" s="43">
        <f t="shared" si="95"/>
        <v>56.807447467236834</v>
      </c>
      <c r="BI65" s="41" t="str">
        <f t="shared" si="101"/>
        <v>2038,15535622087+3151,12967316691i</v>
      </c>
      <c r="BJ65" s="20">
        <f t="shared" si="97"/>
        <v>71.487166259027916</v>
      </c>
      <c r="BK65" s="43">
        <f t="shared" si="102"/>
        <v>57.105151255292277</v>
      </c>
      <c r="BL65">
        <f t="shared" si="99"/>
        <v>61.533320059504774</v>
      </c>
      <c r="BM65" s="43">
        <f t="shared" si="100"/>
        <v>56.807447467236834</v>
      </c>
    </row>
    <row r="66" spans="1:65" x14ac:dyDescent="0.25">
      <c r="N66" s="9">
        <v>48</v>
      </c>
      <c r="O66" s="34">
        <f t="shared" si="62"/>
        <v>30.199517204020164</v>
      </c>
      <c r="P66" s="33" t="str">
        <f t="shared" si="50"/>
        <v>54,631621870174</v>
      </c>
      <c r="Q66" s="4" t="str">
        <f t="shared" si="63"/>
        <v>1+0,756269033657337i</v>
      </c>
      <c r="R66" s="4">
        <f t="shared" si="64"/>
        <v>1.2537714509706315</v>
      </c>
      <c r="S66" s="4">
        <f t="shared" si="65"/>
        <v>0.64750123201891252</v>
      </c>
      <c r="T66" s="4" t="str">
        <f t="shared" si="51"/>
        <v>1+0,00948745813901085i</v>
      </c>
      <c r="U66" s="4">
        <f t="shared" si="66"/>
        <v>1.0000450049182485</v>
      </c>
      <c r="V66" s="4">
        <f t="shared" si="67"/>
        <v>9.4871734931262081E-3</v>
      </c>
      <c r="W66" t="str">
        <f t="shared" si="52"/>
        <v>1-0,000755076213873342i</v>
      </c>
      <c r="X66" s="4">
        <f t="shared" si="68"/>
        <v>1.0000002850700038</v>
      </c>
      <c r="Y66" s="4">
        <f t="shared" si="69"/>
        <v>-7.5507607037365128E-4</v>
      </c>
      <c r="Z66" t="str">
        <f t="shared" si="53"/>
        <v>0,999999996351957+0,000103741364697595i</v>
      </c>
      <c r="AA66" s="4">
        <f t="shared" si="70"/>
        <v>1.0000000017330923</v>
      </c>
      <c r="AB66" s="4">
        <f t="shared" si="71"/>
        <v>1.0374136470388373E-4</v>
      </c>
      <c r="AC66" s="47" t="str">
        <f t="shared" si="72"/>
        <v>34,9812748823798-25,9838583670227i</v>
      </c>
      <c r="AD66" s="20">
        <f t="shared" si="73"/>
        <v>32.784907705411158</v>
      </c>
      <c r="AE66" s="43">
        <f t="shared" si="74"/>
        <v>-36.6047194379424</v>
      </c>
      <c r="AF66" t="str">
        <f t="shared" si="54"/>
        <v>171,265703090588</v>
      </c>
      <c r="AG66" t="str">
        <f t="shared" si="55"/>
        <v>1+0,749031525818607i</v>
      </c>
      <c r="AH66">
        <f t="shared" si="75"/>
        <v>1.2494191557160275</v>
      </c>
      <c r="AI66">
        <f t="shared" si="76"/>
        <v>0.64288099712681501</v>
      </c>
      <c r="AJ66" t="str">
        <f t="shared" si="56"/>
        <v>1+0,00948745813901085i</v>
      </c>
      <c r="AK66">
        <f t="shared" si="77"/>
        <v>1.0000450049182485</v>
      </c>
      <c r="AL66">
        <f t="shared" si="78"/>
        <v>9.4871734931262081E-3</v>
      </c>
      <c r="AM66" t="str">
        <f t="shared" si="57"/>
        <v>1-0,000238554660270861i</v>
      </c>
      <c r="AN66">
        <f t="shared" si="79"/>
        <v>1.0000000284541626</v>
      </c>
      <c r="AO66">
        <f t="shared" si="80"/>
        <v>-2.3855465574561236E-4</v>
      </c>
      <c r="AP66" s="41" t="str">
        <f t="shared" si="81"/>
        <v>110,472289485654-81,1632075970107i</v>
      </c>
      <c r="AQ66">
        <f t="shared" si="82"/>
        <v>42.739635979205694</v>
      </c>
      <c r="AR66" s="43">
        <f t="shared" si="83"/>
        <v>-36.304461038821344</v>
      </c>
      <c r="AS66" t="str">
        <f t="shared" si="58"/>
        <v>-0,0000166666666666667</v>
      </c>
      <c r="AT66" t="str">
        <f t="shared" si="59"/>
        <v>6,28828725453638E-07i</v>
      </c>
      <c r="AU66">
        <f t="shared" si="84"/>
        <v>6.2882872545363795E-7</v>
      </c>
      <c r="AV66">
        <f t="shared" si="85"/>
        <v>1.5707963267948966</v>
      </c>
      <c r="AW66" t="str">
        <f t="shared" si="60"/>
        <v>1+0,000211621275086205i</v>
      </c>
      <c r="AX66">
        <f t="shared" si="86"/>
        <v>1.0000000223917818</v>
      </c>
      <c r="AY66">
        <f t="shared" si="87"/>
        <v>2.1162127192715346E-4</v>
      </c>
      <c r="AZ66" t="str">
        <f t="shared" si="61"/>
        <v>1+0,0500937789739773i</v>
      </c>
      <c r="BA66">
        <f t="shared" si="88"/>
        <v>1.0012539072043083</v>
      </c>
      <c r="BB66">
        <f t="shared" si="89"/>
        <v>5.0051940395336864E-2</v>
      </c>
      <c r="BC66" s="41" t="str">
        <f t="shared" si="90"/>
        <v>-1,32209173038348+26,5045821341346i</v>
      </c>
      <c r="BD66">
        <f t="shared" si="91"/>
        <v>28.477211825962151</v>
      </c>
      <c r="BE66" s="43">
        <f t="shared" si="92"/>
        <v>92.855639935356521</v>
      </c>
      <c r="BF66" s="41" t="str">
        <f t="shared" si="93"/>
        <v>642,442854010208+961,517117547271i</v>
      </c>
      <c r="BG66" s="20">
        <f t="shared" si="94"/>
        <v>61.262119531373294</v>
      </c>
      <c r="BH66" s="43">
        <f t="shared" si="95"/>
        <v>56.250920497414128</v>
      </c>
      <c r="BI66" s="41" t="str">
        <f t="shared" si="101"/>
        <v>2005,14240165927+3035,32707579382i</v>
      </c>
      <c r="BJ66" s="20">
        <f t="shared" si="97"/>
        <v>71.216847805167845</v>
      </c>
      <c r="BK66" s="43">
        <f t="shared" si="102"/>
        <v>56.551178896535276</v>
      </c>
      <c r="BL66">
        <f t="shared" si="99"/>
        <v>61.262119531373294</v>
      </c>
      <c r="BM66" s="43">
        <f t="shared" si="100"/>
        <v>56.250920497414128</v>
      </c>
    </row>
    <row r="67" spans="1:65" x14ac:dyDescent="0.25">
      <c r="N67" s="9">
        <v>49</v>
      </c>
      <c r="O67" s="34">
        <f t="shared" si="62"/>
        <v>30.902954325135919</v>
      </c>
      <c r="P67" s="33" t="str">
        <f t="shared" si="50"/>
        <v>54,631621870174</v>
      </c>
      <c r="Q67" s="4" t="str">
        <f t="shared" si="63"/>
        <v>1+0,773884802420491i</v>
      </c>
      <c r="R67" s="4">
        <f t="shared" si="64"/>
        <v>1.2644752616866026</v>
      </c>
      <c r="S67" s="4">
        <f t="shared" si="65"/>
        <v>0.65861296570768701</v>
      </c>
      <c r="T67" s="4" t="str">
        <f t="shared" si="51"/>
        <v>1+0,0097084494282068i</v>
      </c>
      <c r="U67" s="4">
        <f t="shared" si="66"/>
        <v>1.0000471258847254</v>
      </c>
      <c r="V67" s="4">
        <f t="shared" si="67"/>
        <v>9.7081444254225081E-3</v>
      </c>
      <c r="W67" t="str">
        <f t="shared" si="52"/>
        <v>1-0,000772664198294474i</v>
      </c>
      <c r="X67" s="4">
        <f t="shared" si="68"/>
        <v>1.000000298504937</v>
      </c>
      <c r="Y67" s="4">
        <f t="shared" si="69"/>
        <v>-7.7266404453178749E-4</v>
      </c>
      <c r="Z67" t="str">
        <f t="shared" si="53"/>
        <v>0,99999999618003+0,000106157811504691i</v>
      </c>
      <c r="AA67" s="4">
        <f t="shared" si="70"/>
        <v>1.0000000018147703</v>
      </c>
      <c r="AB67" s="4">
        <f t="shared" si="71"/>
        <v>1.061578115114295E-4</v>
      </c>
      <c r="AC67" s="47" t="str">
        <f t="shared" si="72"/>
        <v>34,4020681381582-26,1408608846983i</v>
      </c>
      <c r="AD67" s="20">
        <f t="shared" si="73"/>
        <v>32.711087029399032</v>
      </c>
      <c r="AE67" s="43">
        <f t="shared" si="74"/>
        <v>-37.229860348459916</v>
      </c>
      <c r="AF67" t="str">
        <f t="shared" si="54"/>
        <v>171,265703090588</v>
      </c>
      <c r="AG67" t="str">
        <f t="shared" si="55"/>
        <v>1+0,766478711367541i</v>
      </c>
      <c r="AH67">
        <f t="shared" si="75"/>
        <v>1.2599561956590579</v>
      </c>
      <c r="AI67">
        <f t="shared" si="76"/>
        <v>0.6539643373451216</v>
      </c>
      <c r="AJ67" t="str">
        <f t="shared" si="56"/>
        <v>1+0,0097084494282068i</v>
      </c>
      <c r="AK67">
        <f t="shared" si="77"/>
        <v>1.0000471258847254</v>
      </c>
      <c r="AL67">
        <f t="shared" si="78"/>
        <v>9.7081444254225081E-3</v>
      </c>
      <c r="AM67" t="str">
        <f t="shared" si="57"/>
        <v>1-0,000244111312131088i</v>
      </c>
      <c r="AN67">
        <f t="shared" si="79"/>
        <v>1.0000000297951659</v>
      </c>
      <c r="AO67">
        <f t="shared" si="80"/>
        <v>-2.4411130728219674E-4</v>
      </c>
      <c r="AP67" s="41" t="str">
        <f t="shared" si="81"/>
        <v>108,667486929956-81,6703988278853i</v>
      </c>
      <c r="AQ67">
        <f t="shared" si="82"/>
        <v>42.666708686026183</v>
      </c>
      <c r="AR67" s="43">
        <f t="shared" si="83"/>
        <v>-36.92714732710369</v>
      </c>
      <c r="AS67" t="str">
        <f t="shared" si="58"/>
        <v>-0,0000166666666666667</v>
      </c>
      <c r="AT67" t="str">
        <f t="shared" si="59"/>
        <v>6,43476028101546E-07i</v>
      </c>
      <c r="AU67">
        <f t="shared" si="84"/>
        <v>6.4347602810154605E-7</v>
      </c>
      <c r="AV67">
        <f t="shared" si="85"/>
        <v>1.5707963267948966</v>
      </c>
      <c r="AW67" t="str">
        <f t="shared" si="60"/>
        <v>1+0,000216550567813231i</v>
      </c>
      <c r="AX67">
        <f t="shared" si="86"/>
        <v>1.0000000234470738</v>
      </c>
      <c r="AY67">
        <f t="shared" si="87"/>
        <v>2.1655056442824628E-4</v>
      </c>
      <c r="AZ67" t="str">
        <f t="shared" si="61"/>
        <v>1+0,0512606129809319i</v>
      </c>
      <c r="BA67">
        <f t="shared" si="88"/>
        <v>1.0013129632852962</v>
      </c>
      <c r="BB67">
        <f t="shared" si="89"/>
        <v>5.1215785310466368E-2</v>
      </c>
      <c r="BC67" s="41" t="str">
        <f t="shared" si="90"/>
        <v>-1,3220917275931+25,9012770729659i</v>
      </c>
      <c r="BD67">
        <f t="shared" si="91"/>
        <v>28.277724113897904</v>
      </c>
      <c r="BE67" s="43">
        <f t="shared" si="92"/>
        <v>92.922040909344929</v>
      </c>
      <c r="BF67" s="41" t="str">
        <f t="shared" si="93"/>
        <v>631,598991002874+925,618114657309i</v>
      </c>
      <c r="BG67" s="20">
        <f t="shared" si="94"/>
        <v>60.988811143296928</v>
      </c>
      <c r="BH67" s="43">
        <f t="shared" si="95"/>
        <v>55.692180560885014</v>
      </c>
      <c r="BI67" s="41" t="str">
        <f t="shared" si="101"/>
        <v>1971,69924317226+2922,60244647527i</v>
      </c>
      <c r="BJ67" s="20">
        <f t="shared" si="97"/>
        <v>70.944432799924087</v>
      </c>
      <c r="BK67" s="43">
        <f t="shared" si="102"/>
        <v>55.994893582241268</v>
      </c>
      <c r="BL67">
        <f t="shared" si="99"/>
        <v>60.988811143296928</v>
      </c>
      <c r="BM67" s="43">
        <f t="shared" si="100"/>
        <v>55.692180560885014</v>
      </c>
    </row>
    <row r="68" spans="1:65" x14ac:dyDescent="0.25">
      <c r="N68" s="9">
        <v>50</v>
      </c>
      <c r="O68" s="34">
        <f t="shared" si="62"/>
        <v>31.622776601683803</v>
      </c>
      <c r="P68" s="33" t="str">
        <f t="shared" si="50"/>
        <v>54,631621870174</v>
      </c>
      <c r="Q68" s="4" t="str">
        <f t="shared" si="63"/>
        <v>1+0,791910895149463i</v>
      </c>
      <c r="R68" s="4">
        <f t="shared" si="64"/>
        <v>1.2755872631288006</v>
      </c>
      <c r="S68" s="4">
        <f t="shared" si="65"/>
        <v>0.6697890618846033</v>
      </c>
      <c r="T68" s="4" t="str">
        <f t="shared" si="51"/>
        <v>1+0,0099345882657961i</v>
      </c>
      <c r="U68" s="4">
        <f t="shared" si="66"/>
        <v>1.0000493468044518</v>
      </c>
      <c r="V68" s="4">
        <f t="shared" si="67"/>
        <v>9.9342614502955489E-3</v>
      </c>
      <c r="W68" t="str">
        <f t="shared" si="52"/>
        <v>1-0,000790661859500961i</v>
      </c>
      <c r="X68" s="4">
        <f t="shared" si="68"/>
        <v>1.0000003125730392</v>
      </c>
      <c r="Y68" s="4">
        <f t="shared" si="69"/>
        <v>-7.9066169474127678E-4</v>
      </c>
      <c r="Z68" t="str">
        <f t="shared" si="53"/>
        <v>0,999999996+0,000108630544588612i</v>
      </c>
      <c r="AA68" s="4">
        <f t="shared" si="70"/>
        <v>1.0000000019002975</v>
      </c>
      <c r="AB68" s="4">
        <f t="shared" si="71"/>
        <v>1.0863054459583248E-4</v>
      </c>
      <c r="AC68" s="47" t="str">
        <f t="shared" si="72"/>
        <v>33,8161323634769-26,2857508339423i</v>
      </c>
      <c r="AD68" s="20">
        <f t="shared" si="73"/>
        <v>32.635109701947094</v>
      </c>
      <c r="AE68" s="43">
        <f t="shared" si="74"/>
        <v>-37.858420806196008</v>
      </c>
      <c r="AF68" t="str">
        <f t="shared" si="54"/>
        <v>171,265703090588</v>
      </c>
      <c r="AG68" t="str">
        <f t="shared" si="55"/>
        <v>1+0,784332294074787i</v>
      </c>
      <c r="AH68">
        <f t="shared" si="75"/>
        <v>1.2708961985656493</v>
      </c>
      <c r="AI68">
        <f t="shared" si="76"/>
        <v>0.66511418288773638</v>
      </c>
      <c r="AJ68" t="str">
        <f t="shared" si="56"/>
        <v>1+0,0099345882657961i</v>
      </c>
      <c r="AK68">
        <f t="shared" si="77"/>
        <v>1.0000493468044518</v>
      </c>
      <c r="AL68">
        <f t="shared" si="78"/>
        <v>9.9342614502955489E-3</v>
      </c>
      <c r="AM68" t="str">
        <f t="shared" si="57"/>
        <v>1-0,000249797395040202i</v>
      </c>
      <c r="AN68">
        <f t="shared" si="79"/>
        <v>1.0000000311993689</v>
      </c>
      <c r="AO68">
        <f t="shared" si="80"/>
        <v>-2.4979738984452142E-4</v>
      </c>
      <c r="AP68" s="41" t="str">
        <f t="shared" si="81"/>
        <v>106,840960940073-82,1401434775169i</v>
      </c>
      <c r="AQ68">
        <f t="shared" si="82"/>
        <v>42.591635303799329</v>
      </c>
      <c r="AR68" s="43">
        <f t="shared" si="83"/>
        <v>-37.553356656249697</v>
      </c>
      <c r="AS68" t="str">
        <f t="shared" si="58"/>
        <v>-0,0000166666666666667</v>
      </c>
      <c r="AT68" t="str">
        <f t="shared" si="59"/>
        <v>6,58464510256966E-07i</v>
      </c>
      <c r="AU68">
        <f t="shared" si="84"/>
        <v>6.5846451025696601E-7</v>
      </c>
      <c r="AV68">
        <f t="shared" si="85"/>
        <v>1.5707963267948966</v>
      </c>
      <c r="AW68" t="str">
        <f t="shared" si="60"/>
        <v>1+0,000221594678517697i</v>
      </c>
      <c r="AX68">
        <f t="shared" si="86"/>
        <v>1.0000000245521006</v>
      </c>
      <c r="AY68">
        <f t="shared" si="87"/>
        <v>2.2159467489062053E-4</v>
      </c>
      <c r="AZ68" t="str">
        <f t="shared" si="61"/>
        <v>1+0,0524546260434034i</v>
      </c>
      <c r="BA68">
        <f t="shared" si="88"/>
        <v>1.0013747988607229</v>
      </c>
      <c r="BB68">
        <f t="shared" si="89"/>
        <v>5.240659589004501E-2</v>
      </c>
      <c r="BC68" s="41" t="str">
        <f t="shared" si="90"/>
        <v>-1,3220917246712+25,3117052117451i</v>
      </c>
      <c r="BD68">
        <f t="shared" si="91"/>
        <v>28.078260480458006</v>
      </c>
      <c r="BE68" s="43">
        <f t="shared" si="92"/>
        <v>92.989980323513421</v>
      </c>
      <c r="BF68" s="41" t="str">
        <f t="shared" si="93"/>
        <v>620,629147619992+890,696147440005i</v>
      </c>
      <c r="BG68" s="20">
        <f t="shared" si="94"/>
        <v>60.7133701824051</v>
      </c>
      <c r="BH68" s="43">
        <f t="shared" si="95"/>
        <v>55.131559517317413</v>
      </c>
      <c r="BI68" s="41" t="str">
        <f t="shared" si="101"/>
        <v>1937,85354743857+2812,92371180963i</v>
      </c>
      <c r="BJ68" s="20">
        <f t="shared" si="97"/>
        <v>70.669895784257349</v>
      </c>
      <c r="BK68" s="43">
        <f t="shared" si="102"/>
        <v>55.436623667263646</v>
      </c>
      <c r="BL68">
        <f t="shared" si="99"/>
        <v>60.7133701824051</v>
      </c>
      <c r="BM68" s="43">
        <f t="shared" si="100"/>
        <v>55.131559517317413</v>
      </c>
    </row>
    <row r="69" spans="1:65" x14ac:dyDescent="0.25">
      <c r="A69" s="49" t="s">
        <v>457</v>
      </c>
      <c r="N69" s="9">
        <v>51</v>
      </c>
      <c r="O69" s="34">
        <f t="shared" si="62"/>
        <v>32.359365692962832</v>
      </c>
      <c r="P69" s="33" t="str">
        <f t="shared" si="50"/>
        <v>54,631621870174</v>
      </c>
      <c r="Q69" s="4" t="str">
        <f t="shared" si="63"/>
        <v>1+0,810356869517224i</v>
      </c>
      <c r="R69" s="4">
        <f t="shared" si="64"/>
        <v>1.2871201404584403</v>
      </c>
      <c r="S69" s="4">
        <f t="shared" si="65"/>
        <v>0.6810242792103216</v>
      </c>
      <c r="T69" s="4" t="str">
        <f t="shared" si="51"/>
        <v>1+0,0101659945535837i</v>
      </c>
      <c r="U69" s="4">
        <f t="shared" si="66"/>
        <v>1.0000516723876138</v>
      </c>
      <c r="V69" s="4">
        <f t="shared" si="67"/>
        <v>1.0165644365442849E-2</v>
      </c>
      <c r="W69" t="str">
        <f t="shared" si="52"/>
        <v>1-0,000809078740091003i</v>
      </c>
      <c r="X69" s="4">
        <f t="shared" si="68"/>
        <v>1.0000003273041502</v>
      </c>
      <c r="Y69" s="4">
        <f t="shared" si="69"/>
        <v>-8.0907856354782372E-4</v>
      </c>
      <c r="Z69" t="str">
        <f t="shared" si="53"/>
        <v>0,999999995811486+0,000111160875025168i</v>
      </c>
      <c r="AA69" s="4">
        <f t="shared" si="70"/>
        <v>1.0000000019898561</v>
      </c>
      <c r="AB69" s="4">
        <f t="shared" si="71"/>
        <v>1.1116087503290487E-4</v>
      </c>
      <c r="AC69" s="47" t="str">
        <f t="shared" si="72"/>
        <v>33,2239812950028-26,418170941516i</v>
      </c>
      <c r="AD69" s="20">
        <f t="shared" si="73"/>
        <v>32.55695178885135</v>
      </c>
      <c r="AE69" s="43">
        <f t="shared" si="74"/>
        <v>-38.490094262491688</v>
      </c>
      <c r="AF69" t="str">
        <f t="shared" si="54"/>
        <v>171,265703090588</v>
      </c>
      <c r="AG69" t="str">
        <f t="shared" si="55"/>
        <v>1+0,802601740146216i</v>
      </c>
      <c r="AH69">
        <f t="shared" si="75"/>
        <v>1.2822517511338145</v>
      </c>
      <c r="AI69">
        <f t="shared" si="76"/>
        <v>0.6763253569679103</v>
      </c>
      <c r="AJ69" t="str">
        <f t="shared" si="56"/>
        <v>1+0,0101659945535837i</v>
      </c>
      <c r="AK69">
        <f t="shared" si="77"/>
        <v>1.0000516723876138</v>
      </c>
      <c r="AL69">
        <f t="shared" si="78"/>
        <v>1.0165644365442849E-2</v>
      </c>
      <c r="AM69" t="str">
        <f t="shared" si="57"/>
        <v>1-0,000255615923834626i</v>
      </c>
      <c r="AN69">
        <f t="shared" si="79"/>
        <v>1.0000000326697498</v>
      </c>
      <c r="AO69">
        <f t="shared" si="80"/>
        <v>-2.5561591826735392E-4</v>
      </c>
      <c r="AP69" s="41" t="str">
        <f t="shared" si="81"/>
        <v>104,9942873108-82,5712897371417i</v>
      </c>
      <c r="AQ69">
        <f t="shared" si="82"/>
        <v>42.514391111745347</v>
      </c>
      <c r="AR69" s="43">
        <f t="shared" si="83"/>
        <v>-38.182785727062267</v>
      </c>
      <c r="AS69" t="str">
        <f t="shared" si="58"/>
        <v>-0,0000166666666666667</v>
      </c>
      <c r="AT69" t="str">
        <f t="shared" si="59"/>
        <v>6,73802119011532E-07i</v>
      </c>
      <c r="AU69">
        <f t="shared" si="84"/>
        <v>6.7380211901153201E-7</v>
      </c>
      <c r="AV69">
        <f t="shared" si="85"/>
        <v>1.5707963267948966</v>
      </c>
      <c r="AW69" t="str">
        <f t="shared" si="60"/>
        <v>1+0,000226756281653866i</v>
      </c>
      <c r="AX69">
        <f t="shared" si="86"/>
        <v>1.0000000257092054</v>
      </c>
      <c r="AY69">
        <f t="shared" si="87"/>
        <v>2.2675627776738353E-4</v>
      </c>
      <c r="AZ69" t="str">
        <f t="shared" si="61"/>
        <v>1+0,0536764512429222i</v>
      </c>
      <c r="BA69">
        <f t="shared" si="88"/>
        <v>1.0014395445647399</v>
      </c>
      <c r="BB69">
        <f t="shared" si="89"/>
        <v>5.362499000109993E-2</v>
      </c>
      <c r="BC69" s="41" t="str">
        <f t="shared" si="90"/>
        <v>-1,3220917216116+24,7355539516677i</v>
      </c>
      <c r="BD69">
        <f t="shared" si="91"/>
        <v>27.878822054202548</v>
      </c>
      <c r="BE69" s="43">
        <f t="shared" si="92"/>
        <v>93.059493425800085</v>
      </c>
      <c r="BF69" s="41" t="str">
        <f t="shared" si="93"/>
        <v>609,542941999147+856,740826913639i</v>
      </c>
      <c r="BG69" s="20">
        <f t="shared" si="94"/>
        <v>60.435773843053902</v>
      </c>
      <c r="BH69" s="43">
        <f t="shared" si="95"/>
        <v>54.569399163308411</v>
      </c>
      <c r="BI69" s="41" t="str">
        <f t="shared" si="101"/>
        <v>1903,63451408174+2706,25867699746i</v>
      </c>
      <c r="BJ69" s="20">
        <f t="shared" si="97"/>
        <v>70.393213165947898</v>
      </c>
      <c r="BK69" s="43">
        <f t="shared" si="102"/>
        <v>54.876707698737746</v>
      </c>
      <c r="BL69">
        <f t="shared" si="99"/>
        <v>60.435773843053902</v>
      </c>
      <c r="BM69" s="43">
        <f t="shared" si="100"/>
        <v>54.569399163308411</v>
      </c>
    </row>
    <row r="70" spans="1:65" x14ac:dyDescent="0.25">
      <c r="A70" t="s">
        <v>480</v>
      </c>
      <c r="B70">
        <f>SQRT((2*IOUT*Lm*Fsw*(VOUT-VIN_var)/(VIN_var^2)))</f>
        <v>2.5144212156253327</v>
      </c>
      <c r="E70" s="31"/>
      <c r="N70" s="9">
        <v>52</v>
      </c>
      <c r="O70" s="34">
        <f t="shared" si="62"/>
        <v>33.113112148259127</v>
      </c>
      <c r="P70" s="33" t="str">
        <f t="shared" si="50"/>
        <v>54,631621870174</v>
      </c>
      <c r="Q70" s="4" t="str">
        <f t="shared" si="63"/>
        <v>1+0,829232505823547i</v>
      </c>
      <c r="R70" s="4">
        <f t="shared" si="64"/>
        <v>1.2990868133863875</v>
      </c>
      <c r="S70" s="4">
        <f t="shared" si="65"/>
        <v>0.69231322960836239</v>
      </c>
      <c r="T70" s="4" t="str">
        <f t="shared" si="51"/>
        <v>1+0,0104027909862466i</v>
      </c>
      <c r="U70" s="4">
        <f t="shared" si="66"/>
        <v>1.0000541075663374</v>
      </c>
      <c r="V70" s="4">
        <f t="shared" si="67"/>
        <v>1.0402415753989685E-2</v>
      </c>
      <c r="W70" t="str">
        <f t="shared" si="52"/>
        <v>1-0,000827924604938468i</v>
      </c>
      <c r="X70" s="4">
        <f t="shared" si="68"/>
        <v>1.000000342729517</v>
      </c>
      <c r="Y70" s="4">
        <f t="shared" si="69"/>
        <v>-8.2792441576904675E-4</v>
      </c>
      <c r="Z70" t="str">
        <f t="shared" si="53"/>
        <v>0,999999995614087+0,000113750144429052i</v>
      </c>
      <c r="AA70" s="4">
        <f t="shared" si="70"/>
        <v>1.0000000020836348</v>
      </c>
      <c r="AB70" s="4">
        <f t="shared" si="71"/>
        <v>1.1375014443734224E-4</v>
      </c>
      <c r="AC70" s="47" t="str">
        <f t="shared" si="72"/>
        <v>32,6261529304065-26,537790483111i</v>
      </c>
      <c r="AD70" s="20">
        <f t="shared" si="73"/>
        <v>32.476591305743618</v>
      </c>
      <c r="AE70" s="43">
        <f t="shared" si="74"/>
        <v>-39.124565616161291</v>
      </c>
      <c r="AF70" t="str">
        <f t="shared" si="54"/>
        <v>171,265703090588</v>
      </c>
      <c r="AG70" t="str">
        <f t="shared" si="55"/>
        <v>1+0,821296736283964i</v>
      </c>
      <c r="AH70">
        <f t="shared" si="75"/>
        <v>1.2940356753315154</v>
      </c>
      <c r="AI70">
        <f t="shared" si="76"/>
        <v>0.68759253141037935</v>
      </c>
      <c r="AJ70" t="str">
        <f t="shared" si="56"/>
        <v>1+0,0104027909862466i</v>
      </c>
      <c r="AK70">
        <f t="shared" si="77"/>
        <v>1.0000541075663374</v>
      </c>
      <c r="AL70">
        <f t="shared" si="78"/>
        <v>1.0402415753989685E-2</v>
      </c>
      <c r="AM70" t="str">
        <f t="shared" si="57"/>
        <v>1-0,000261569983575344i</v>
      </c>
      <c r="AN70">
        <f t="shared" si="79"/>
        <v>1.0000000342094275</v>
      </c>
      <c r="AO70">
        <f t="shared" si="80"/>
        <v>-2.6156997760990456E-4</v>
      </c>
      <c r="AP70" s="41" t="str">
        <f t="shared" si="81"/>
        <v>103,129119938691-82,962766276265i</v>
      </c>
      <c r="AQ70">
        <f t="shared" si="82"/>
        <v>42.434953300861778</v>
      </c>
      <c r="AR70" s="43">
        <f t="shared" si="83"/>
        <v>-38.815122410851636</v>
      </c>
      <c r="AS70" t="str">
        <f t="shared" si="58"/>
        <v>-0,0000166666666666667</v>
      </c>
      <c r="AT70" t="str">
        <f t="shared" si="59"/>
        <v>6,89496986568423E-07i</v>
      </c>
      <c r="AU70">
        <f t="shared" si="84"/>
        <v>6.8949698656842295E-7</v>
      </c>
      <c r="AV70">
        <f t="shared" si="85"/>
        <v>1.5707963267948966</v>
      </c>
      <c r="AW70" t="str">
        <f t="shared" si="60"/>
        <v>1+0,000232038113972042i</v>
      </c>
      <c r="AX70">
        <f t="shared" si="86"/>
        <v>1.0000000269208429</v>
      </c>
      <c r="AY70">
        <f t="shared" si="87"/>
        <v>2.3203810980760103E-4</v>
      </c>
      <c r="AZ70" t="str">
        <f t="shared" si="61"/>
        <v>1+0,054926736407382i</v>
      </c>
      <c r="BA70">
        <f t="shared" si="88"/>
        <v>1.0015073371535357</v>
      </c>
      <c r="BB70">
        <f t="shared" si="89"/>
        <v>5.4871599174616474E-2</v>
      </c>
      <c r="BC70" s="41" t="str">
        <f t="shared" si="90"/>
        <v>-1,32209171840782+24,172517809709i</v>
      </c>
      <c r="BD70">
        <f t="shared" si="91"/>
        <v>27.679410016280297</v>
      </c>
      <c r="BE70" s="43">
        <f t="shared" si="92"/>
        <v>93.130616243460892</v>
      </c>
      <c r="BF70" s="41" t="str">
        <f t="shared" si="93"/>
        <v>598,350446490529+823,741655795103i</v>
      </c>
      <c r="BG70" s="20">
        <f t="shared" si="94"/>
        <v>60.156001322023911</v>
      </c>
      <c r="BH70" s="43">
        <f t="shared" si="95"/>
        <v>54.006050627299608</v>
      </c>
      <c r="BI70" s="41" t="str">
        <f t="shared" si="101"/>
        <v>1869,07278995811+2602,57487464768i</v>
      </c>
      <c r="BJ70" s="20">
        <f t="shared" si="97"/>
        <v>70.114363317142093</v>
      </c>
      <c r="BK70" s="43">
        <f t="shared" si="102"/>
        <v>54.315493832609306</v>
      </c>
      <c r="BL70">
        <f t="shared" si="99"/>
        <v>60.156001322023911</v>
      </c>
      <c r="BM70" s="43">
        <f t="shared" si="100"/>
        <v>54.006050627299608</v>
      </c>
    </row>
    <row r="71" spans="1:65" x14ac:dyDescent="0.25">
      <c r="A71" t="s">
        <v>459</v>
      </c>
      <c r="B71">
        <f>(Fsw*Gcomp)/((R_cs*Acs*(VIN_var/Lm))+((R_sl+Rsl_int)*Isl))</f>
        <v>9.0909016528986495</v>
      </c>
      <c r="C71" t="s">
        <v>150</v>
      </c>
      <c r="E71" s="158"/>
      <c r="N71" s="9">
        <v>53</v>
      </c>
      <c r="O71" s="34">
        <f t="shared" si="62"/>
        <v>33.884415613920268</v>
      </c>
      <c r="P71" s="33" t="str">
        <f t="shared" si="50"/>
        <v>54,631621870174</v>
      </c>
      <c r="Q71" s="4" t="str">
        <f t="shared" si="63"/>
        <v>1+0,848547812180642i</v>
      </c>
      <c r="R71" s="4">
        <f t="shared" si="64"/>
        <v>1.3115004344477184</v>
      </c>
      <c r="S71" s="4">
        <f t="shared" si="65"/>
        <v>0.70365039000579332</v>
      </c>
      <c r="T71" s="4" t="str">
        <f t="shared" si="51"/>
        <v>1+0,0106451031163875i</v>
      </c>
      <c r="U71" s="4">
        <f t="shared" si="66"/>
        <v>1.0000566575051428</v>
      </c>
      <c r="V71" s="4">
        <f t="shared" si="67"/>
        <v>1.0644701049010521E-2</v>
      </c>
      <c r="W71" t="str">
        <f t="shared" si="52"/>
        <v>1-0,000847209446370343i</v>
      </c>
      <c r="X71" s="4">
        <f t="shared" si="68"/>
        <v>1.0000003588818585</v>
      </c>
      <c r="Y71" s="4">
        <f t="shared" si="69"/>
        <v>-8.4720924367166002E-4</v>
      </c>
      <c r="Z71" t="str">
        <f t="shared" si="53"/>
        <v>0,999999995407385+0,000116399725665172i</v>
      </c>
      <c r="AA71" s="4">
        <f t="shared" si="70"/>
        <v>1.0000000021818332</v>
      </c>
      <c r="AB71" s="4">
        <f t="shared" si="71"/>
        <v>1.163997256740552E-4</v>
      </c>
      <c r="AC71" s="47" t="str">
        <f t="shared" si="72"/>
        <v>32,0232077730743-26,6443072406589i</v>
      </c>
      <c r="AD71" s="20">
        <f t="shared" si="73"/>
        <v>32.394008304834486</v>
      </c>
      <c r="AE71" s="43">
        <f t="shared" si="74"/>
        <v>-39.761511882824031</v>
      </c>
      <c r="AF71" t="str">
        <f t="shared" si="54"/>
        <v>171,265703090588</v>
      </c>
      <c r="AG71" t="str">
        <f t="shared" si="55"/>
        <v>1+0,840427194822432i</v>
      </c>
      <c r="AH71">
        <f t="shared" si="75"/>
        <v>1.3062610266700534</v>
      </c>
      <c r="AI71">
        <f t="shared" si="76"/>
        <v>0.69891023803893126</v>
      </c>
      <c r="AJ71" t="str">
        <f t="shared" si="56"/>
        <v>1+0,0106451031163875i</v>
      </c>
      <c r="AK71">
        <f t="shared" si="77"/>
        <v>1.0000566575051428</v>
      </c>
      <c r="AL71">
        <f t="shared" si="78"/>
        <v>1.0644701049010521E-2</v>
      </c>
      <c r="AM71" t="str">
        <f t="shared" si="57"/>
        <v>1-0,000267662731183641i</v>
      </c>
      <c r="AN71">
        <f t="shared" si="79"/>
        <v>1.0000000358216683</v>
      </c>
      <c r="AO71">
        <f t="shared" si="80"/>
        <v>-2.6766272479155745E-4</v>
      </c>
      <c r="AP71" s="41" t="str">
        <f t="shared" si="81"/>
        <v>101,247185575852-83,3135885333268i</v>
      </c>
      <c r="AQ71">
        <f t="shared" si="82"/>
        <v>42.353301063319016</v>
      </c>
      <c r="AR71" s="43">
        <f t="shared" si="83"/>
        <v>-39.4500463982912</v>
      </c>
      <c r="AS71" t="str">
        <f t="shared" si="58"/>
        <v>-0,0000166666666666667</v>
      </c>
      <c r="AT71" t="str">
        <f t="shared" si="59"/>
        <v>7,05557434554165E-07i</v>
      </c>
      <c r="AU71">
        <f t="shared" si="84"/>
        <v>7.0555743455416499E-7</v>
      </c>
      <c r="AV71">
        <f t="shared" si="85"/>
        <v>1.5707963267948966</v>
      </c>
      <c r="AW71" t="str">
        <f t="shared" si="60"/>
        <v>1+0,000237442975969633i</v>
      </c>
      <c r="AX71">
        <f t="shared" si="86"/>
        <v>1.0000000281895831</v>
      </c>
      <c r="AY71">
        <f t="shared" si="87"/>
        <v>2.3744297150735409E-4</v>
      </c>
      <c r="AZ71" t="str">
        <f t="shared" si="61"/>
        <v>1+0,056206144454526i</v>
      </c>
      <c r="BA71">
        <f t="shared" si="88"/>
        <v>1.0015783197905408</v>
      </c>
      <c r="BB71">
        <f t="shared" si="89"/>
        <v>5.6147068872306943E-2</v>
      </c>
      <c r="BC71" s="41" t="str">
        <f t="shared" si="90"/>
        <v>-1,32209171505303+23,6222982566542i</v>
      </c>
      <c r="BD71">
        <f t="shared" si="91"/>
        <v>27.480025602850205</v>
      </c>
      <c r="BE71" s="43">
        <f t="shared" si="92"/>
        <v>93.203385598271112</v>
      </c>
      <c r="BF71" s="41" t="str">
        <f t="shared" si="93"/>
        <v>587,062154794572+791,687983006571i</v>
      </c>
      <c r="BG71" s="20">
        <f t="shared" si="94"/>
        <v>59.874033907684691</v>
      </c>
      <c r="BH71" s="43">
        <f t="shared" si="95"/>
        <v>53.441873715447109</v>
      </c>
      <c r="BI71" s="41" t="str">
        <f t="shared" si="101"/>
        <v>1834,20037194414+2501,83942047084i</v>
      </c>
      <c r="BJ71" s="20">
        <f t="shared" si="97"/>
        <v>69.833326666169228</v>
      </c>
      <c r="BK71" s="43">
        <f t="shared" si="102"/>
        <v>53.753339199979912</v>
      </c>
      <c r="BL71">
        <f t="shared" si="99"/>
        <v>59.874033907684691</v>
      </c>
      <c r="BM71" s="43">
        <f t="shared" si="100"/>
        <v>53.441873715447109</v>
      </c>
    </row>
    <row r="72" spans="1:65" x14ac:dyDescent="0.25">
      <c r="A72" t="s">
        <v>458</v>
      </c>
      <c r="B72">
        <f>(B71*2*VOUT/DC_VIN_var_DCM)*(((VOUT/VIN_var)-1)/((2*VOUT/VIN_var)-1))</f>
        <v>171.26570309058843</v>
      </c>
      <c r="C72" t="s">
        <v>150</v>
      </c>
      <c r="N72" s="9">
        <v>54</v>
      </c>
      <c r="O72" s="34">
        <f t="shared" si="62"/>
        <v>34.67368504525318</v>
      </c>
      <c r="P72" s="33" t="str">
        <f t="shared" si="50"/>
        <v>54,631621870174</v>
      </c>
      <c r="Q72" s="4" t="str">
        <f t="shared" si="63"/>
        <v>1+0,868313029819617i</v>
      </c>
      <c r="R72" s="4">
        <f t="shared" si="64"/>
        <v>1.3243743873068987</v>
      </c>
      <c r="S72" s="4">
        <f t="shared" si="65"/>
        <v>0.71503011487987567</v>
      </c>
      <c r="T72" s="4" t="str">
        <f t="shared" si="51"/>
        <v>1+0,0108930594211054i</v>
      </c>
      <c r="U72" s="4">
        <f t="shared" si="66"/>
        <v>1.0000593276118932</v>
      </c>
      <c r="V72" s="4">
        <f t="shared" si="67"/>
        <v>1.0892628599529318E-2</v>
      </c>
      <c r="W72" t="str">
        <f t="shared" si="52"/>
        <v>1-0,000866943489464829i</v>
      </c>
      <c r="X72" s="4">
        <f t="shared" si="68"/>
        <v>1.0000003757954363</v>
      </c>
      <c r="Y72" s="4">
        <f t="shared" si="69"/>
        <v>-8.6694327226928157E-4</v>
      </c>
      <c r="Z72" t="str">
        <f t="shared" si="53"/>
        <v>0,999999995190942+0,000119111023576572i</v>
      </c>
      <c r="AA72" s="4">
        <f t="shared" si="70"/>
        <v>1.00000000228466</v>
      </c>
      <c r="AB72" s="4">
        <f t="shared" si="71"/>
        <v>1.191110235860905E-4</v>
      </c>
      <c r="AC72" s="47" t="str">
        <f t="shared" si="72"/>
        <v>31,4157268921882-26,7374493222975i</v>
      </c>
      <c r="AD72" s="20">
        <f t="shared" si="73"/>
        <v>32.309184954814931</v>
      </c>
      <c r="AE72" s="43">
        <f t="shared" si="74"/>
        <v>-40.400602910337952</v>
      </c>
      <c r="AF72" t="str">
        <f t="shared" si="54"/>
        <v>171,265703090588</v>
      </c>
      <c r="AG72" t="str">
        <f t="shared" si="55"/>
        <v>1+0,860003258983967i</v>
      </c>
      <c r="AH72">
        <f t="shared" si="75"/>
        <v>1.3189410924916414</v>
      </c>
      <c r="AI72">
        <f t="shared" si="76"/>
        <v>0.71027288089362828</v>
      </c>
      <c r="AJ72" t="str">
        <f t="shared" si="56"/>
        <v>1+0,0108930594211054i</v>
      </c>
      <c r="AK72">
        <f t="shared" si="77"/>
        <v>1.0000593276118932</v>
      </c>
      <c r="AL72">
        <f t="shared" si="78"/>
        <v>1.0892628599529318E-2</v>
      </c>
      <c r="AM72" t="str">
        <f t="shared" si="57"/>
        <v>1-0,000273897397114947i</v>
      </c>
      <c r="AN72">
        <f t="shared" si="79"/>
        <v>1.0000000375098914</v>
      </c>
      <c r="AO72">
        <f t="shared" si="80"/>
        <v>-2.7389739026570609E-4</v>
      </c>
      <c r="AP72" s="41" t="str">
        <f t="shared" si="81"/>
        <v>99,3502779912918-83,6228646032025i</v>
      </c>
      <c r="AQ72">
        <f t="shared" si="82"/>
        <v>42.269415675302795</v>
      </c>
      <c r="AR72" s="43">
        <f t="shared" si="83"/>
        <v>-40.08722989572847</v>
      </c>
      <c r="AS72" t="str">
        <f t="shared" si="58"/>
        <v>-0,0000166666666666667</v>
      </c>
      <c r="AT72" t="str">
        <f t="shared" si="59"/>
        <v>7,21991978430864E-07i</v>
      </c>
      <c r="AU72">
        <f t="shared" si="84"/>
        <v>7.2199197843086401E-7</v>
      </c>
      <c r="AV72">
        <f t="shared" si="85"/>
        <v>1.5707963267948966</v>
      </c>
      <c r="AW72" t="str">
        <f t="shared" si="60"/>
        <v>1+0,000242973733376013i</v>
      </c>
      <c r="AX72">
        <f t="shared" si="86"/>
        <v>1.0000000295181171</v>
      </c>
      <c r="AY72">
        <f t="shared" si="87"/>
        <v>2.4297372859459501E-4</v>
      </c>
      <c r="AZ72" t="str">
        <f t="shared" si="61"/>
        <v>1+0,0575153537434362i</v>
      </c>
      <c r="BA72">
        <f t="shared" si="88"/>
        <v>1.0016526423447565</v>
      </c>
      <c r="BB72">
        <f t="shared" si="89"/>
        <v>5.7452058755979897E-2</v>
      </c>
      <c r="BC72" s="41" t="str">
        <f t="shared" si="90"/>
        <v>-1,32209171154014+23,0846035588129i</v>
      </c>
      <c r="BD72">
        <f t="shared" si="91"/>
        <v>27.280670107610621</v>
      </c>
      <c r="BE72" s="43">
        <f t="shared" si="92"/>
        <v>93.277839121874237</v>
      </c>
      <c r="BF72" s="41" t="str">
        <f t="shared" si="93"/>
        <v>575,688945642918+760,568960954836i</v>
      </c>
      <c r="BG72" s="20">
        <f t="shared" si="94"/>
        <v>59.589855062425556</v>
      </c>
      <c r="BH72" s="43">
        <f t="shared" si="95"/>
        <v>52.877236211536285</v>
      </c>
      <c r="BI72" s="41" t="str">
        <f t="shared" si="101"/>
        <v>1799,05049874572+2404,01887707396i</v>
      </c>
      <c r="BJ72" s="20">
        <f t="shared" si="97"/>
        <v>69.550085782913399</v>
      </c>
      <c r="BK72" s="43">
        <f t="shared" si="102"/>
        <v>53.190609226145781</v>
      </c>
      <c r="BL72">
        <f t="shared" si="99"/>
        <v>59.589855062425556</v>
      </c>
      <c r="BM72" s="43">
        <f t="shared" si="100"/>
        <v>52.877236211536285</v>
      </c>
    </row>
    <row r="73" spans="1:65" x14ac:dyDescent="0.25">
      <c r="A73" t="s">
        <v>483</v>
      </c>
      <c r="B73">
        <f>(IOUT_VAR*((2*VOUT)-VIN_var))/(Cout*VOUT*(VOUT-VIN_var))</f>
        <v>253.32600329851564</v>
      </c>
      <c r="C73" t="s">
        <v>385</v>
      </c>
      <c r="N73" s="9">
        <v>55</v>
      </c>
      <c r="O73" s="34">
        <f t="shared" si="62"/>
        <v>35.481338923357555</v>
      </c>
      <c r="P73" s="33" t="str">
        <f t="shared" si="50"/>
        <v>54,631621870174</v>
      </c>
      <c r="Q73" s="4" t="str">
        <f t="shared" si="63"/>
        <v>1+0,888538638520484i</v>
      </c>
      <c r="R73" s="4">
        <f t="shared" si="64"/>
        <v>1.3377222851338897</v>
      </c>
      <c r="S73" s="4">
        <f t="shared" si="65"/>
        <v>0.72644664954777483</v>
      </c>
      <c r="T73" s="4" t="str">
        <f t="shared" si="51"/>
        <v>1+0,011146791370115i</v>
      </c>
      <c r="U73" s="4">
        <f t="shared" si="66"/>
        <v>1.0000621235492568</v>
      </c>
      <c r="V73" s="4">
        <f t="shared" si="67"/>
        <v>1.114632973802789E-2</v>
      </c>
      <c r="W73" t="str">
        <f t="shared" si="52"/>
        <v>1-0,000887137197472783i</v>
      </c>
      <c r="X73" s="4">
        <f t="shared" si="68"/>
        <v>1.0000003935061261</v>
      </c>
      <c r="Y73" s="4">
        <f t="shared" si="69"/>
        <v>-8.8713696474356581E-4</v>
      </c>
      <c r="Z73" t="str">
        <f t="shared" si="53"/>
        <v>0,999999994964298+0,000121885475729294i</v>
      </c>
      <c r="AA73" s="4">
        <f t="shared" si="70"/>
        <v>1.0000000023923326</v>
      </c>
      <c r="AB73" s="4">
        <f t="shared" si="71"/>
        <v>1.2188547573949325E-4</v>
      </c>
      <c r="AC73" s="47" t="str">
        <f t="shared" si="72"/>
        <v>30,8043098107874-26,8169768251028i</v>
      </c>
      <c r="AD73" s="20">
        <f t="shared" si="73"/>
        <v>32.222105613256005</v>
      </c>
      <c r="AE73" s="43">
        <f t="shared" si="74"/>
        <v>-41.041502136730237</v>
      </c>
      <c r="AF73" t="str">
        <f t="shared" si="54"/>
        <v>171,265703090588</v>
      </c>
      <c r="AG73" t="str">
        <f t="shared" si="55"/>
        <v>1+0,880035308256904i</v>
      </c>
      <c r="AH73">
        <f t="shared" si="75"/>
        <v>1.3320893903108846</v>
      </c>
      <c r="AI73">
        <f t="shared" si="76"/>
        <v>0.72167474921836372</v>
      </c>
      <c r="AJ73" t="str">
        <f t="shared" si="56"/>
        <v>1+0,011146791370115i</v>
      </c>
      <c r="AK73">
        <f t="shared" si="77"/>
        <v>1.0000621235492568</v>
      </c>
      <c r="AL73">
        <f t="shared" si="78"/>
        <v>1.114632973802789E-2</v>
      </c>
      <c r="AM73" t="str">
        <f t="shared" si="57"/>
        <v>1-0,000280277287071664i</v>
      </c>
      <c r="AN73">
        <f t="shared" si="79"/>
        <v>1.000000039277678</v>
      </c>
      <c r="AO73">
        <f t="shared" si="80"/>
        <v>-2.8027727973257017E-4</v>
      </c>
      <c r="AP73" s="41" t="str">
        <f t="shared" si="81"/>
        <v>97,4402515760903-83,8898006578187i</v>
      </c>
      <c r="AQ73">
        <f t="shared" si="82"/>
        <v>42.183280572625918</v>
      </c>
      <c r="AR73" s="43">
        <f t="shared" si="83"/>
        <v>-40.726338365546276</v>
      </c>
      <c r="AS73" t="str">
        <f t="shared" si="58"/>
        <v>-0,0000166666666666667</v>
      </c>
      <c r="AT73" t="str">
        <f t="shared" si="59"/>
        <v>7,3880933201122E-07i</v>
      </c>
      <c r="AU73">
        <f t="shared" si="84"/>
        <v>7.3880933201122001E-7</v>
      </c>
      <c r="AV73">
        <f t="shared" si="85"/>
        <v>1.5707963267948966</v>
      </c>
      <c r="AW73" t="str">
        <f t="shared" si="60"/>
        <v>1+0,000248633318671966i</v>
      </c>
      <c r="AX73">
        <f t="shared" si="86"/>
        <v>1.0000000309092631</v>
      </c>
      <c r="AY73">
        <f t="shared" si="87"/>
        <v>2.4863331354858434E-4</v>
      </c>
      <c r="AZ73" t="str">
        <f t="shared" si="61"/>
        <v>1+0,0588550584342069i</v>
      </c>
      <c r="BA73">
        <f t="shared" si="88"/>
        <v>1.0017304617027945</v>
      </c>
      <c r="BB73">
        <f t="shared" si="89"/>
        <v>5.8787242959314943E-2</v>
      </c>
      <c r="BC73" s="41" t="str">
        <f t="shared" si="90"/>
        <v>-1,3220917078617+22,5591486233394i</v>
      </c>
      <c r="BD73">
        <f t="shared" si="91"/>
        <v>27.081344884442707</v>
      </c>
      <c r="BE73" s="43">
        <f t="shared" si="92"/>
        <v>93.354015271266235</v>
      </c>
      <c r="BF73" s="41" t="str">
        <f t="shared" si="93"/>
        <v>564,242043258898+730,373505951333i</v>
      </c>
      <c r="BG73" s="20">
        <f t="shared" si="94"/>
        <v>59.303450497698705</v>
      </c>
      <c r="BH73" s="43">
        <f t="shared" si="95"/>
        <v>52.31251313453599</v>
      </c>
      <c r="BI73" s="41" t="str">
        <f t="shared" si="101"/>
        <v>1763,65753240134+2309,07912702448i</v>
      </c>
      <c r="BJ73" s="20">
        <f t="shared" si="97"/>
        <v>69.264625457068632</v>
      </c>
      <c r="BK73" s="43">
        <f t="shared" si="102"/>
        <v>52.62767690572003</v>
      </c>
      <c r="BL73">
        <f t="shared" si="99"/>
        <v>59.303450497698705</v>
      </c>
      <c r="BM73" s="43">
        <f t="shared" si="100"/>
        <v>52.31251313453599</v>
      </c>
    </row>
    <row r="74" spans="1:65" x14ac:dyDescent="0.25">
      <c r="B74">
        <f>B73/(2*PI())</f>
        <v>40.318085638672549</v>
      </c>
      <c r="C74" t="s">
        <v>65</v>
      </c>
      <c r="N74" s="9">
        <v>56</v>
      </c>
      <c r="O74" s="34">
        <f t="shared" si="62"/>
        <v>36.307805477010156</v>
      </c>
      <c r="P74" s="33" t="str">
        <f t="shared" si="50"/>
        <v>54,631621870174</v>
      </c>
      <c r="Q74" s="4" t="str">
        <f t="shared" si="63"/>
        <v>1+0,909235362168696i</v>
      </c>
      <c r="R74" s="4">
        <f t="shared" si="64"/>
        <v>1.3515579690927206</v>
      </c>
      <c r="S74" s="4">
        <f t="shared" si="65"/>
        <v>0.73789414412835475</v>
      </c>
      <c r="T74" s="4" t="str">
        <f t="shared" si="51"/>
        <v>1+0,0114064334954543i</v>
      </c>
      <c r="U74" s="4">
        <f t="shared" si="66"/>
        <v>1.0000650512467109</v>
      </c>
      <c r="V74" s="4">
        <f t="shared" si="67"/>
        <v>1.1405938849498783E-2</v>
      </c>
      <c r="W74" t="str">
        <f t="shared" si="52"/>
        <v>1-0,00090780127736549i</v>
      </c>
      <c r="X74" s="4">
        <f t="shared" si="68"/>
        <v>1.0000004120514947</v>
      </c>
      <c r="Y74" s="4">
        <f t="shared" si="69"/>
        <v>-9.0780102799164651E-4</v>
      </c>
      <c r="Z74" t="str">
        <f t="shared" si="53"/>
        <v>0,999999994726973+0,000124724553174593i</v>
      </c>
      <c r="AA74" s="4">
        <f t="shared" si="70"/>
        <v>1.0000000025050799</v>
      </c>
      <c r="AB74" s="4">
        <f t="shared" si="71"/>
        <v>1.2472455318552166E-4</v>
      </c>
      <c r="AC74" s="47" t="str">
        <f t="shared" si="72"/>
        <v>30,1895722368336-26,88268332203i</v>
      </c>
      <c r="AD74" s="20">
        <f t="shared" si="73"/>
        <v>32.132756890896346</v>
      </c>
      <c r="AE74" s="43">
        <f t="shared" si="74"/>
        <v>-41.683867386552947</v>
      </c>
      <c r="AF74" t="str">
        <f t="shared" si="54"/>
        <v>171,265703090588</v>
      </c>
      <c r="AG74" t="str">
        <f t="shared" si="55"/>
        <v>1+0,900533963898926i</v>
      </c>
      <c r="AH74">
        <f t="shared" si="75"/>
        <v>1.3457196662513007</v>
      </c>
      <c r="AI74">
        <f t="shared" si="76"/>
        <v>0.73311003115113305</v>
      </c>
      <c r="AJ74" t="str">
        <f t="shared" si="56"/>
        <v>1+0,0114064334954543i</v>
      </c>
      <c r="AK74">
        <f t="shared" si="77"/>
        <v>1.0000650512467109</v>
      </c>
      <c r="AL74">
        <f t="shared" si="78"/>
        <v>1.1405938849498783E-2</v>
      </c>
      <c r="AM74" t="str">
        <f t="shared" si="57"/>
        <v>1-0,000286805783755896i</v>
      </c>
      <c r="AN74">
        <f t="shared" si="79"/>
        <v>1.0000000411287779</v>
      </c>
      <c r="AO74">
        <f t="shared" si="80"/>
        <v>-2.8680577589191534E-4</v>
      </c>
      <c r="AP74" s="41" t="str">
        <f t="shared" si="81"/>
        <v>95,5190144363057-84,1137058398955i</v>
      </c>
      <c r="AQ74">
        <f t="shared" si="82"/>
        <v>42.094881418475147</v>
      </c>
      <c r="AR74" s="43">
        <f t="shared" si="83"/>
        <v>-41.367031306702238</v>
      </c>
      <c r="AS74" t="str">
        <f t="shared" si="58"/>
        <v>-0,0000166666666666667</v>
      </c>
      <c r="AT74" t="str">
        <f t="shared" si="59"/>
        <v>7,56018412078707E-07i</v>
      </c>
      <c r="AU74">
        <f t="shared" si="84"/>
        <v>7.5601841207870696E-7</v>
      </c>
      <c r="AV74">
        <f t="shared" si="85"/>
        <v>1.5707963267948966</v>
      </c>
      <c r="AW74" t="str">
        <f t="shared" si="60"/>
        <v>1+0,000254424732644532i</v>
      </c>
      <c r="AX74">
        <f t="shared" si="86"/>
        <v>1.0000000323659717</v>
      </c>
      <c r="AY74">
        <f t="shared" si="87"/>
        <v>2.5442472715472966E-4</v>
      </c>
      <c r="AZ74" t="str">
        <f t="shared" si="61"/>
        <v>1+0,0602259688559984i</v>
      </c>
      <c r="BA74">
        <f t="shared" si="88"/>
        <v>1.0018119420952436</v>
      </c>
      <c r="BB74">
        <f t="shared" si="89"/>
        <v>6.0153310361837201E-2</v>
      </c>
      <c r="BC74" s="41" t="str">
        <f t="shared" si="90"/>
        <v>-1,3220917040099+22,0456548470715i</v>
      </c>
      <c r="BD74">
        <f t="shared" si="91"/>
        <v>26.882051350170912</v>
      </c>
      <c r="BE74" s="43">
        <f t="shared" si="92"/>
        <v>93.431953344404121</v>
      </c>
      <c r="BF74" s="41" t="str">
        <f t="shared" si="93"/>
        <v>552,732974878674+701,090262115547i</v>
      </c>
      <c r="BG74" s="20">
        <f t="shared" si="94"/>
        <v>59.014808241067264</v>
      </c>
      <c r="BH74" s="43">
        <f t="shared" si="95"/>
        <v>51.748085957851153</v>
      </c>
      <c r="BI74" s="41" t="str">
        <f t="shared" si="101"/>
        <v>1728,056830293+2216,98525627969i</v>
      </c>
      <c r="BJ74" s="20">
        <f t="shared" si="97"/>
        <v>68.976932768646066</v>
      </c>
      <c r="BK74" s="43">
        <f t="shared" si="102"/>
        <v>52.064922037701827</v>
      </c>
      <c r="BL74">
        <f t="shared" si="99"/>
        <v>59.014808241067264</v>
      </c>
      <c r="BM74" s="43">
        <f t="shared" si="100"/>
        <v>51.748085957851153</v>
      </c>
    </row>
    <row r="75" spans="1:65" x14ac:dyDescent="0.25">
      <c r="A75" t="s">
        <v>461</v>
      </c>
      <c r="B75">
        <f>1/(Cout*Resr)</f>
        <v>20000</v>
      </c>
      <c r="C75" t="s">
        <v>385</v>
      </c>
      <c r="N75" s="9">
        <v>57</v>
      </c>
      <c r="O75" s="34">
        <f t="shared" si="62"/>
        <v>37.15352290971726</v>
      </c>
      <c r="P75" s="33" t="str">
        <f t="shared" si="50"/>
        <v>54,631621870174</v>
      </c>
      <c r="Q75" s="4" t="str">
        <f t="shared" si="63"/>
        <v>1+0,93041417444108i</v>
      </c>
      <c r="R75" s="4">
        <f t="shared" si="64"/>
        <v>1.3658955069846581</v>
      </c>
      <c r="S75" s="4">
        <f t="shared" si="65"/>
        <v>0.74936666809739261</v>
      </c>
      <c r="T75" s="4" t="str">
        <f t="shared" si="51"/>
        <v>1+0,0116721234628148i</v>
      </c>
      <c r="U75" s="4">
        <f t="shared" si="66"/>
        <v>1.0000681169131087</v>
      </c>
      <c r="V75" s="4">
        <f t="shared" si="67"/>
        <v>1.1671593442073963E-2</v>
      </c>
      <c r="W75" t="str">
        <f t="shared" si="52"/>
        <v>1-0,000928946685511623i</v>
      </c>
      <c r="X75" s="4">
        <f t="shared" si="68"/>
        <v>1.0000004314708792</v>
      </c>
      <c r="Y75" s="4">
        <f t="shared" si="69"/>
        <v>-9.2894641830274167E-4</v>
      </c>
      <c r="Z75" t="str">
        <f t="shared" si="53"/>
        <v>0,999999994478463+0,000127629761228909i</v>
      </c>
      <c r="AA75" s="4">
        <f t="shared" si="70"/>
        <v>1.000000002623141</v>
      </c>
      <c r="AB75" s="4">
        <f t="shared" si="71"/>
        <v>1.2762976124061924E-4</v>
      </c>
      <c r="AC75" s="47" t="str">
        <f t="shared" si="72"/>
        <v>29,5721436545579-26,9343971561671i</v>
      </c>
      <c r="AD75" s="20">
        <f t="shared" si="73"/>
        <v>32.041127707268366</v>
      </c>
      <c r="AE75" s="43">
        <f t="shared" si="74"/>
        <v>-42.327351701159806</v>
      </c>
      <c r="AF75" t="str">
        <f t="shared" si="54"/>
        <v>171,265703090588</v>
      </c>
      <c r="AG75" t="str">
        <f t="shared" si="55"/>
        <v>1+0,92151009456858i</v>
      </c>
      <c r="AH75">
        <f t="shared" si="75"/>
        <v>1.3598458936187561</v>
      </c>
      <c r="AI75">
        <f t="shared" si="76"/>
        <v>0.74457282804142866</v>
      </c>
      <c r="AJ75" t="str">
        <f t="shared" si="56"/>
        <v>1+0,0116721234628148i</v>
      </c>
      <c r="AK75">
        <f t="shared" si="77"/>
        <v>1.0000681169131087</v>
      </c>
      <c r="AL75">
        <f t="shared" si="78"/>
        <v>1.1671593442073963E-2</v>
      </c>
      <c r="AM75" t="str">
        <f t="shared" si="57"/>
        <v>1-0,000293486348662998i</v>
      </c>
      <c r="AN75">
        <f t="shared" si="79"/>
        <v>1.0000000430671174</v>
      </c>
      <c r="AO75">
        <f t="shared" si="80"/>
        <v>-2.9348634023659088E-4</v>
      </c>
      <c r="AP75" s="41" t="str">
        <f t="shared" si="81"/>
        <v>93,588521024879-84,2939965746019i</v>
      </c>
      <c r="AQ75">
        <f t="shared" si="82"/>
        <v>42.004206162719022</v>
      </c>
      <c r="AR75" s="43">
        <f t="shared" si="83"/>
        <v>-42.008963071110742</v>
      </c>
      <c r="AS75" t="str">
        <f t="shared" si="58"/>
        <v>-0,0000166666666666667</v>
      </c>
      <c r="AT75" t="str">
        <f t="shared" si="59"/>
        <v>7,73628343115364E-07i</v>
      </c>
      <c r="AU75">
        <f t="shared" si="84"/>
        <v>7.7362834311536398E-7</v>
      </c>
      <c r="AV75">
        <f t="shared" si="85"/>
        <v>1.5707963267948966</v>
      </c>
      <c r="AW75" t="str">
        <f t="shared" si="60"/>
        <v>1+0,000260351045978054i</v>
      </c>
      <c r="AX75">
        <f t="shared" si="86"/>
        <v>1.0000000338913329</v>
      </c>
      <c r="AY75">
        <f t="shared" si="87"/>
        <v>2.6035104009562482E-4</v>
      </c>
      <c r="AZ75" t="str">
        <f t="shared" si="61"/>
        <v>1+0,0616288118836621i</v>
      </c>
      <c r="BA75">
        <f t="shared" si="88"/>
        <v>1.0018972554379975</v>
      </c>
      <c r="BB75">
        <f t="shared" si="89"/>
        <v>6.15509648648533E-2</v>
      </c>
      <c r="BC75" s="41" t="str">
        <f t="shared" si="90"/>
        <v>-1,32209169997656+21,5438499688122i</v>
      </c>
      <c r="BD75">
        <f t="shared" si="91"/>
        <v>26.68279098744712</v>
      </c>
      <c r="BE75" s="43">
        <f t="shared" si="92"/>
        <v>93.511693495924789</v>
      </c>
      <c r="BF75" s="41" t="str">
        <f t="shared" si="93"/>
        <v>541,173525656661+672,707569073998i</v>
      </c>
      <c r="BG75" s="20">
        <f t="shared" si="94"/>
        <v>58.723918694715486</v>
      </c>
      <c r="BH75" s="43">
        <f t="shared" si="95"/>
        <v>51.184341794764947</v>
      </c>
      <c r="BI75" s="41" t="str">
        <f t="shared" si="101"/>
        <v>1692,28460861472+2127,70144899215i</v>
      </c>
      <c r="BJ75" s="20">
        <f t="shared" si="97"/>
        <v>68.68699715016615</v>
      </c>
      <c r="BK75" s="43">
        <f t="shared" si="102"/>
        <v>51.502730424813976</v>
      </c>
      <c r="BL75">
        <f t="shared" si="99"/>
        <v>58.723918694715486</v>
      </c>
      <c r="BM75" s="43">
        <f t="shared" si="100"/>
        <v>51.184341794764947</v>
      </c>
    </row>
    <row r="76" spans="1:65" x14ac:dyDescent="0.25">
      <c r="B76">
        <f>B75/(2*PI())</f>
        <v>3183.098861837907</v>
      </c>
      <c r="C76" t="s">
        <v>65</v>
      </c>
      <c r="N76" s="9">
        <v>58</v>
      </c>
      <c r="O76" s="34">
        <f t="shared" si="62"/>
        <v>38.018939632056139</v>
      </c>
      <c r="P76" s="33" t="str">
        <f t="shared" si="50"/>
        <v>54,631621870174</v>
      </c>
      <c r="Q76" s="4" t="str">
        <f t="shared" si="63"/>
        <v>1+0,95208630462424i</v>
      </c>
      <c r="R76" s="4">
        <f t="shared" si="64"/>
        <v>1.3807491920884984</v>
      </c>
      <c r="S76" s="4">
        <f t="shared" si="65"/>
        <v>0.76085822535083913</v>
      </c>
      <c r="T76" s="4" t="str">
        <f t="shared" si="51"/>
        <v>1+0,0119440021445342i</v>
      </c>
      <c r="U76" s="4">
        <f t="shared" si="66"/>
        <v>1.0000713270498403</v>
      </c>
      <c r="V76" s="4">
        <f t="shared" si="67"/>
        <v>1.1943434219265862E-2</v>
      </c>
      <c r="W76" t="str">
        <f t="shared" si="52"/>
        <v>1-0,000950584633486477i</v>
      </c>
      <c r="X76" s="4">
        <f t="shared" si="68"/>
        <v>1.0000004518054706</v>
      </c>
      <c r="Y76" s="4">
        <f t="shared" si="69"/>
        <v>-9.5058434716700909E-4</v>
      </c>
      <c r="Z76" t="str">
        <f t="shared" si="53"/>
        <v>0,999999994218241+0,000130602640272009i</v>
      </c>
      <c r="AA76" s="4">
        <f t="shared" si="70"/>
        <v>1.0000000027467657</v>
      </c>
      <c r="AB76" s="4">
        <f t="shared" si="71"/>
        <v>1.3060264028455675E-4</v>
      </c>
      <c r="AC76" s="47" t="str">
        <f t="shared" si="72"/>
        <v>28,9526647954073-26,97198252736i</v>
      </c>
      <c r="AD76" s="20">
        <f t="shared" si="73"/>
        <v>31.947209337180148</v>
      </c>
      <c r="AE76" s="43">
        <f t="shared" si="74"/>
        <v>-42.971604198006169</v>
      </c>
      <c r="AF76" t="str">
        <f t="shared" si="54"/>
        <v>171,265703090588</v>
      </c>
      <c r="AG76" t="str">
        <f t="shared" si="55"/>
        <v>1+0,942974822088003i</v>
      </c>
      <c r="AH76">
        <f t="shared" si="75"/>
        <v>1.3744822716542768</v>
      </c>
      <c r="AI76">
        <f t="shared" si="76"/>
        <v>0.75605716931212552</v>
      </c>
      <c r="AJ76" t="str">
        <f t="shared" si="56"/>
        <v>1+0,0119440021445342i</v>
      </c>
      <c r="AK76">
        <f t="shared" si="77"/>
        <v>1.0000713270498403</v>
      </c>
      <c r="AL76">
        <f t="shared" si="78"/>
        <v>1.1943434219265862E-2</v>
      </c>
      <c r="AM76" t="str">
        <f t="shared" si="57"/>
        <v>1-0,000300322523916911i</v>
      </c>
      <c r="AN76">
        <f t="shared" si="79"/>
        <v>1.0000000450968081</v>
      </c>
      <c r="AO76">
        <f t="shared" si="80"/>
        <v>-3.0032251488785311E-4</v>
      </c>
      <c r="AP76" s="41" t="str">
        <f t="shared" si="81"/>
        <v>91,650764370442-84,4302002496604i</v>
      </c>
      <c r="AQ76">
        <f t="shared" si="82"/>
        <v>41.911245092263847</v>
      </c>
      <c r="AR76" s="43">
        <f t="shared" si="83"/>
        <v>-42.651783711132452</v>
      </c>
      <c r="AS76" t="str">
        <f t="shared" si="58"/>
        <v>-0,0000166666666666667</v>
      </c>
      <c r="AT76" t="str">
        <f t="shared" si="59"/>
        <v>7,91648462139723E-07i</v>
      </c>
      <c r="AU76">
        <f t="shared" si="84"/>
        <v>7.9164846213972296E-7</v>
      </c>
      <c r="AV76">
        <f t="shared" si="85"/>
        <v>1.5707963267948966</v>
      </c>
      <c r="AW76" t="str">
        <f t="shared" si="60"/>
        <v>1+0,000266415400882307i</v>
      </c>
      <c r="AX76">
        <f t="shared" si="86"/>
        <v>1.0000000354885823</v>
      </c>
      <c r="AY76">
        <f t="shared" si="87"/>
        <v>2.6641539457917054E-4</v>
      </c>
      <c r="AZ76" t="str">
        <f t="shared" si="61"/>
        <v>1+0,0630643313231403i</v>
      </c>
      <c r="BA76">
        <f t="shared" si="88"/>
        <v>1.0019865816892135</v>
      </c>
      <c r="BB76">
        <f t="shared" si="89"/>
        <v>6.2980925669093843E-2</v>
      </c>
      <c r="BC76" s="41" t="str">
        <f t="shared" si="90"/>
        <v>-1,32209169575314+21,0534679249727i</v>
      </c>
      <c r="BD76">
        <f t="shared" si="91"/>
        <v>26.483565347762298</v>
      </c>
      <c r="BE76" s="43">
        <f t="shared" si="92"/>
        <v>93.59327675295954</v>
      </c>
      <c r="BF76" s="41" t="str">
        <f t="shared" si="93"/>
        <v>529,575691316766+645,213433730015i</v>
      </c>
      <c r="BG76" s="20">
        <f t="shared" si="94"/>
        <v>58.430774684942442</v>
      </c>
      <c r="BH76" s="43">
        <f t="shared" si="95"/>
        <v>50.621672554953335</v>
      </c>
      <c r="BI76" s="41" t="str">
        <f t="shared" si="101"/>
        <v>1656,37779837166+2041,19089459318i</v>
      </c>
      <c r="BJ76" s="20">
        <f t="shared" si="97"/>
        <v>68.394810440026134</v>
      </c>
      <c r="BK76" s="43">
        <f t="shared" si="102"/>
        <v>50.94149304182703</v>
      </c>
      <c r="BL76">
        <f t="shared" si="99"/>
        <v>58.430774684942442</v>
      </c>
      <c r="BM76" s="43">
        <f t="shared" si="100"/>
        <v>50.621672554953335</v>
      </c>
    </row>
    <row r="77" spans="1:65" x14ac:dyDescent="0.25">
      <c r="A77" t="s">
        <v>462</v>
      </c>
      <c r="B77">
        <f>2*Fsw/(DC_VIN_var_DCM)</f>
        <v>795411.67866840598</v>
      </c>
      <c r="C77" t="s">
        <v>385</v>
      </c>
      <c r="N77" s="9">
        <v>59</v>
      </c>
      <c r="O77" s="34">
        <f t="shared" si="62"/>
        <v>38.904514499428053</v>
      </c>
      <c r="P77" s="33" t="str">
        <f t="shared" si="50"/>
        <v>54,631621870174</v>
      </c>
      <c r="Q77" s="4" t="str">
        <f t="shared" si="63"/>
        <v>1+0,974263243568464i</v>
      </c>
      <c r="R77" s="4">
        <f t="shared" si="64"/>
        <v>1.3961335422403347</v>
      </c>
      <c r="S77" s="4">
        <f t="shared" si="65"/>
        <v>0.77236276968478135</v>
      </c>
      <c r="T77" s="4" t="str">
        <f t="shared" si="51"/>
        <v>1+0,0122222136942881i</v>
      </c>
      <c r="U77" s="4">
        <f t="shared" si="66"/>
        <v>1.000074688464611</v>
      </c>
      <c r="V77" s="4">
        <f t="shared" si="67"/>
        <v>1.2221605153853701E-2</v>
      </c>
      <c r="W77" t="str">
        <f t="shared" si="52"/>
        <v>1-0,000972726594016481i</v>
      </c>
      <c r="X77" s="4">
        <f t="shared" si="68"/>
        <v>1.0000004730984013</v>
      </c>
      <c r="Y77" s="4">
        <f t="shared" si="69"/>
        <v>-9.7272628721965153E-4</v>
      </c>
      <c r="Z77" t="str">
        <f t="shared" si="53"/>
        <v>0,999999993945755+0,000133644766563711i</v>
      </c>
      <c r="AA77" s="4">
        <f t="shared" si="70"/>
        <v>1.0000000028762168</v>
      </c>
      <c r="AB77" s="4">
        <f t="shared" si="71"/>
        <v>1.3364476657715617E-4</v>
      </c>
      <c r="AC77" s="47" t="str">
        <f t="shared" si="72"/>
        <v>28,3317850097026-26,9953403585112i</v>
      </c>
      <c r="AD77" s="20">
        <f t="shared" si="73"/>
        <v>31.850995447647144</v>
      </c>
      <c r="AE77" s="43">
        <f t="shared" si="74"/>
        <v>-43.616270953739708</v>
      </c>
      <c r="AF77" t="str">
        <f t="shared" si="54"/>
        <v>171,265703090588</v>
      </c>
      <c r="AG77" t="str">
        <f t="shared" si="55"/>
        <v>1+0,964939527339845i</v>
      </c>
      <c r="AH77">
        <f t="shared" si="75"/>
        <v>1.3896432245086663</v>
      </c>
      <c r="AI77">
        <f t="shared" si="76"/>
        <v>0.76755702777685353</v>
      </c>
      <c r="AJ77" t="str">
        <f t="shared" si="56"/>
        <v>1+0,0122222136942881i</v>
      </c>
      <c r="AK77">
        <f t="shared" si="77"/>
        <v>1.000074688464611</v>
      </c>
      <c r="AL77">
        <f t="shared" si="78"/>
        <v>1.2221605153853701E-2</v>
      </c>
      <c r="AM77" t="str">
        <f t="shared" si="57"/>
        <v>1-0,000307317934148245i</v>
      </c>
      <c r="AN77">
        <f t="shared" si="79"/>
        <v>1.0000000472221551</v>
      </c>
      <c r="AO77">
        <f t="shared" si="80"/>
        <v>-3.0731792447343524E-4</v>
      </c>
      <c r="AP77" s="41" t="str">
        <f t="shared" si="81"/>
        <v>89,707767966922-84,5219582211028i</v>
      </c>
      <c r="AQ77">
        <f t="shared" si="82"/>
        <v>41.815990872019881</v>
      </c>
      <c r="AR77" s="43">
        <f t="shared" si="83"/>
        <v>-43.295139853069308</v>
      </c>
      <c r="AS77" t="str">
        <f t="shared" si="58"/>
        <v>-0,0000166666666666667</v>
      </c>
      <c r="AT77" t="str">
        <f t="shared" si="59"/>
        <v>8,10088323657414E-07i</v>
      </c>
      <c r="AU77">
        <f t="shared" si="84"/>
        <v>8.1008832365741401E-7</v>
      </c>
      <c r="AV77">
        <f t="shared" si="85"/>
        <v>1.5707963267948966</v>
      </c>
      <c r="AW77" t="str">
        <f t="shared" si="60"/>
        <v>1+0,000272621012758532i</v>
      </c>
      <c r="AX77">
        <f t="shared" si="86"/>
        <v>1.0000000371611075</v>
      </c>
      <c r="AY77">
        <f t="shared" si="87"/>
        <v>2.7262100600459961E-4</v>
      </c>
      <c r="AZ77" t="str">
        <f t="shared" si="61"/>
        <v>1+0,0645332883058411i</v>
      </c>
      <c r="BA77">
        <f t="shared" si="88"/>
        <v>1.0020801092225935</v>
      </c>
      <c r="BB77">
        <f t="shared" si="89"/>
        <v>6.4443927553773303E-2</v>
      </c>
      <c r="BC77" s="41" t="str">
        <f t="shared" si="90"/>
        <v>-1,32209169133068+20,5742487085027i</v>
      </c>
      <c r="BD77">
        <f t="shared" si="91"/>
        <v>26.28437605459203</v>
      </c>
      <c r="BE77" s="43">
        <f t="shared" si="92"/>
        <v>93.676745031027366</v>
      </c>
      <c r="BF77" s="41" t="str">
        <f t="shared" si="93"/>
        <v>517,951628944795+618,595506338081i</v>
      </c>
      <c r="BG77" s="20">
        <f t="shared" si="94"/>
        <v>58.135371502239167</v>
      </c>
      <c r="BH77" s="43">
        <f t="shared" si="95"/>
        <v>50.060474077287658</v>
      </c>
      <c r="BI77" s="41" t="str">
        <f t="shared" si="101"/>
        <v>1620,37389509376+1957,41570793522i</v>
      </c>
      <c r="BJ77" s="20">
        <f t="shared" si="97"/>
        <v>68.100366926611912</v>
      </c>
      <c r="BK77" s="43">
        <f t="shared" si="102"/>
        <v>50.381605177957937</v>
      </c>
      <c r="BL77">
        <f t="shared" si="99"/>
        <v>58.135371502239167</v>
      </c>
      <c r="BM77" s="43">
        <f t="shared" si="100"/>
        <v>50.060474077287658</v>
      </c>
    </row>
    <row r="78" spans="1:65" x14ac:dyDescent="0.25">
      <c r="B78">
        <f>B77/(2*PI())</f>
        <v>126593.7004530991</v>
      </c>
      <c r="C78" t="s">
        <v>65</v>
      </c>
      <c r="N78" s="9">
        <v>60</v>
      </c>
      <c r="O78" s="34">
        <f t="shared" si="62"/>
        <v>39.810717055349755</v>
      </c>
      <c r="P78" s="33" t="str">
        <f t="shared" si="50"/>
        <v>54,631621870174</v>
      </c>
      <c r="Q78" s="4" t="str">
        <f t="shared" si="63"/>
        <v>1+0,996956749780325i</v>
      </c>
      <c r="R78" s="4">
        <f t="shared" si="64"/>
        <v>1.4120632991946749</v>
      </c>
      <c r="S78" s="4">
        <f t="shared" si="65"/>
        <v>0.78387422059591982</v>
      </c>
      <c r="T78" s="4" t="str">
        <f t="shared" si="51"/>
        <v>1+0,0125069056235229i</v>
      </c>
      <c r="U78" s="4">
        <f t="shared" si="66"/>
        <v>1.0000782082858699</v>
      </c>
      <c r="V78" s="4">
        <f t="shared" si="67"/>
        <v>1.2506253563453452E-2</v>
      </c>
      <c r="W78" t="str">
        <f t="shared" si="52"/>
        <v>1-0,000995384307062189i</v>
      </c>
      <c r="X78" s="4">
        <f t="shared" si="68"/>
        <v>1.0000004953948367</v>
      </c>
      <c r="Y78" s="4">
        <f t="shared" si="69"/>
        <v>-9.9538397832347222E-4</v>
      </c>
      <c r="Z78" t="str">
        <f t="shared" si="53"/>
        <v>0,999999993660427+0,000136757753079642i</v>
      </c>
      <c r="AA78" s="4">
        <f t="shared" si="70"/>
        <v>1.0000000030117684</v>
      </c>
      <c r="AB78" s="4">
        <f t="shared" si="71"/>
        <v>1.3675775309404878E-4</v>
      </c>
      <c r="AC78" s="47" t="str">
        <f t="shared" si="72"/>
        <v>27,7101595616083-27,0044089313195i</v>
      </c>
      <c r="AD78" s="20">
        <f t="shared" si="73"/>
        <v>31.752482124946845</v>
      </c>
      <c r="AE78" s="43">
        <f t="shared" si="74"/>
        <v>-44.260995905567576</v>
      </c>
      <c r="AF78" t="str">
        <f t="shared" si="54"/>
        <v>171,265703090588</v>
      </c>
      <c r="AG78" t="str">
        <f t="shared" si="55"/>
        <v>1+0,987415856301564i</v>
      </c>
      <c r="AH78">
        <f t="shared" si="75"/>
        <v>1.4053434004810892</v>
      </c>
      <c r="AI78">
        <f t="shared" si="76"/>
        <v>0.77906633531859237</v>
      </c>
      <c r="AJ78" t="str">
        <f t="shared" si="56"/>
        <v>1+0,0125069056235229i</v>
      </c>
      <c r="AK78">
        <f t="shared" si="77"/>
        <v>1.0000782082858699</v>
      </c>
      <c r="AL78">
        <f t="shared" si="78"/>
        <v>1.2506253563453452E-2</v>
      </c>
      <c r="AM78" t="str">
        <f t="shared" si="57"/>
        <v>1-0,000314476288416096i</v>
      </c>
      <c r="AN78">
        <f t="shared" si="79"/>
        <v>1.0000000494476666</v>
      </c>
      <c r="AO78">
        <f t="shared" si="80"/>
        <v>-3.1447627804935058E-4</v>
      </c>
      <c r="AP78" s="41" t="str">
        <f t="shared" si="81"/>
        <v>87,7615773928944-84,5690281093214i</v>
      </c>
      <c r="AQ78">
        <f t="shared" si="82"/>
        <v>41.718438576116903</v>
      </c>
      <c r="AR78" s="43">
        <f t="shared" si="83"/>
        <v>-43.938675591262005</v>
      </c>
      <c r="AS78" t="str">
        <f t="shared" si="58"/>
        <v>-0,0000166666666666667</v>
      </c>
      <c r="AT78" t="str">
        <f t="shared" si="59"/>
        <v>8,28957704727096E-07i</v>
      </c>
      <c r="AU78">
        <f t="shared" si="84"/>
        <v>8.2895770472709596E-7</v>
      </c>
      <c r="AV78">
        <f t="shared" si="85"/>
        <v>1.5707963267948966</v>
      </c>
      <c r="AW78" t="str">
        <f t="shared" si="60"/>
        <v>1+0,000278971171904287i</v>
      </c>
      <c r="AX78">
        <f t="shared" si="86"/>
        <v>1.0000000389124566</v>
      </c>
      <c r="AY78">
        <f t="shared" si="87"/>
        <v>2.7897116466731812E-4</v>
      </c>
      <c r="AZ78" t="str">
        <f t="shared" si="61"/>
        <v>1+0,0660364616922006i</v>
      </c>
      <c r="BA78">
        <f t="shared" si="88"/>
        <v>1.0021780352177079</v>
      </c>
      <c r="BB78">
        <f t="shared" si="89"/>
        <v>6.5940721156756865E-2</v>
      </c>
      <c r="BC78" s="41" t="str">
        <f t="shared" si="90"/>
        <v>-1,32209168669979+20,10593823103i</v>
      </c>
      <c r="BD78">
        <f t="shared" si="91"/>
        <v>26.085224806680017</v>
      </c>
      <c r="BE78" s="43">
        <f t="shared" si="92"/>
        <v>93.762141149989915</v>
      </c>
      <c r="BF78" s="41" t="str">
        <f t="shared" si="93"/>
        <v>506,313606345058+592,841061070021i</v>
      </c>
      <c r="BG78" s="20">
        <f t="shared" si="94"/>
        <v>57.837706931626862</v>
      </c>
      <c r="BH78" s="43">
        <f t="shared" si="95"/>
        <v>49.501145244422339</v>
      </c>
      <c r="BI78" s="41" t="str">
        <f t="shared" si="101"/>
        <v>1584,31080354145+1876,33686313491i</v>
      </c>
      <c r="BJ78" s="20">
        <f t="shared" si="97"/>
        <v>67.803663382796927</v>
      </c>
      <c r="BK78" s="43">
        <f t="shared" si="102"/>
        <v>49.823465558727946</v>
      </c>
      <c r="BL78">
        <f t="shared" si="99"/>
        <v>57.837706931626862</v>
      </c>
      <c r="BM78" s="43">
        <f t="shared" si="100"/>
        <v>49.501145244422339</v>
      </c>
    </row>
    <row r="79" spans="1:65" x14ac:dyDescent="0.25">
      <c r="N79" s="9">
        <v>61</v>
      </c>
      <c r="O79" s="34">
        <f t="shared" si="62"/>
        <v>40.738027780411279</v>
      </c>
      <c r="P79" s="33" t="str">
        <f t="shared" si="50"/>
        <v>54,631621870174</v>
      </c>
      <c r="Q79" s="4" t="str">
        <f t="shared" si="63"/>
        <v>1+1,0201788556572i</v>
      </c>
      <c r="R79" s="4">
        <f t="shared" si="64"/>
        <v>1.4285534283078229</v>
      </c>
      <c r="S79" s="4">
        <f t="shared" si="65"/>
        <v>0.79538647930254835</v>
      </c>
      <c r="T79" s="4" t="str">
        <f t="shared" si="51"/>
        <v>1+0,0127982288796677i</v>
      </c>
      <c r="U79" s="4">
        <f t="shared" si="66"/>
        <v>1.0000818939779164</v>
      </c>
      <c r="V79" s="4">
        <f t="shared" si="67"/>
        <v>1.2797530187805151E-2</v>
      </c>
      <c r="W79" t="str">
        <f t="shared" si="52"/>
        <v>1-0,00101856978604297i</v>
      </c>
      <c r="X79" s="4">
        <f t="shared" si="68"/>
        <v>1.00000051874207</v>
      </c>
      <c r="Y79" s="4">
        <f t="shared" si="69"/>
        <v>-1.0185694337930984E-3</v>
      </c>
      <c r="Z79" t="str">
        <f t="shared" si="53"/>
        <v>0,999999993361652+0,00013994325036646i</v>
      </c>
      <c r="AA79" s="4">
        <f t="shared" si="70"/>
        <v>1.0000000031537086</v>
      </c>
      <c r="AB79" s="4">
        <f t="shared" si="71"/>
        <v>1.3994325038189717E-4</v>
      </c>
      <c r="AC79" s="47" t="str">
        <f t="shared" si="72"/>
        <v>27,0884468711843-26,999164283897i</v>
      </c>
      <c r="AD79" s="20">
        <f t="shared" si="73"/>
        <v>31.651667891556677</v>
      </c>
      <c r="AE79" s="43">
        <f t="shared" si="74"/>
        <v>-44.905421765168676</v>
      </c>
      <c r="AF79" t="str">
        <f t="shared" si="54"/>
        <v>171,265703090588</v>
      </c>
      <c r="AG79" t="str">
        <f t="shared" si="55"/>
        <v>1+1,01041572622029i</v>
      </c>
      <c r="AH79">
        <f t="shared" si="75"/>
        <v>1.4215976715629763</v>
      </c>
      <c r="AI79">
        <f t="shared" si="76"/>
        <v>0.79057899883092808</v>
      </c>
      <c r="AJ79" t="str">
        <f t="shared" si="56"/>
        <v>1+0,0127982288796677i</v>
      </c>
      <c r="AK79">
        <f t="shared" si="77"/>
        <v>1.0000818939779164</v>
      </c>
      <c r="AL79">
        <f t="shared" si="78"/>
        <v>1.2797530187805151E-2</v>
      </c>
      <c r="AM79" t="str">
        <f t="shared" si="57"/>
        <v>1-0,000321801382174653i</v>
      </c>
      <c r="AN79">
        <f t="shared" si="79"/>
        <v>1.0000000517780634</v>
      </c>
      <c r="AO79">
        <f t="shared" si="80"/>
        <v>-3.2180137106648513E-4</v>
      </c>
      <c r="AP79" s="41" t="str">
        <f t="shared" si="81"/>
        <v>85,8142517337288-84,5712853581695i</v>
      </c>
      <c r="AQ79">
        <f t="shared" si="82"/>
        <v>41.618585709092137</v>
      </c>
      <c r="AR79" s="43">
        <f t="shared" si="83"/>
        <v>-44.582033397141373</v>
      </c>
      <c r="AS79" t="str">
        <f t="shared" si="58"/>
        <v>-0,0000166666666666667</v>
      </c>
      <c r="AT79" t="str">
        <f t="shared" si="59"/>
        <v>8,48266610144375E-07i</v>
      </c>
      <c r="AU79">
        <f t="shared" si="84"/>
        <v>8.4826661014437496E-7</v>
      </c>
      <c r="AV79">
        <f t="shared" si="85"/>
        <v>1.5707963267948966</v>
      </c>
      <c r="AW79" t="str">
        <f t="shared" si="60"/>
        <v>1+0,000285469245258007i</v>
      </c>
      <c r="AX79">
        <f t="shared" si="86"/>
        <v>1.0000000407463441</v>
      </c>
      <c r="AY79">
        <f t="shared" si="87"/>
        <v>2.8546923750345516E-4</v>
      </c>
      <c r="AZ79" t="str">
        <f t="shared" si="61"/>
        <v>1+0,0675746484846454i</v>
      </c>
      <c r="BA79">
        <f t="shared" si="88"/>
        <v>1.0022805660681162</v>
      </c>
      <c r="BB79">
        <f t="shared" si="89"/>
        <v>6.7472073255489609E-2</v>
      </c>
      <c r="BC79" s="41" t="str">
        <f t="shared" si="90"/>
        <v>-1,32209168185065+19,648288188141i</v>
      </c>
      <c r="BD79">
        <f t="shared" si="91"/>
        <v>25.886113381467165</v>
      </c>
      <c r="BE79" s="43">
        <f t="shared" si="92"/>
        <v>93.8495088500473</v>
      </c>
      <c r="BF79" s="41" t="str">
        <f t="shared" si="93"/>
        <v>494,673950406326+567,936981210835i</v>
      </c>
      <c r="BG79" s="20">
        <f t="shared" si="94"/>
        <v>57.537781273023839</v>
      </c>
      <c r="BH79" s="43">
        <f t="shared" si="95"/>
        <v>48.944087084878625</v>
      </c>
      <c r="BI79" s="41" t="str">
        <f t="shared" si="101"/>
        <v>1548,22667875742+1797,91414160944i</v>
      </c>
      <c r="BJ79" s="20">
        <f t="shared" si="97"/>
        <v>67.504699090559313</v>
      </c>
      <c r="BK79" s="43">
        <f t="shared" si="102"/>
        <v>49.267475452906062</v>
      </c>
      <c r="BL79">
        <f t="shared" si="99"/>
        <v>57.537781273023839</v>
      </c>
      <c r="BM79" s="43">
        <f t="shared" si="100"/>
        <v>48.944087084878625</v>
      </c>
    </row>
    <row r="80" spans="1:65" x14ac:dyDescent="0.25">
      <c r="N80" s="9">
        <v>62</v>
      </c>
      <c r="O80" s="34">
        <f t="shared" si="62"/>
        <v>41.686938347033561</v>
      </c>
      <c r="P80" s="33" t="str">
        <f t="shared" si="50"/>
        <v>54,631621870174</v>
      </c>
      <c r="Q80" s="4" t="str">
        <f t="shared" si="63"/>
        <v>1+1,04394187386702i</v>
      </c>
      <c r="R80" s="4">
        <f t="shared" si="64"/>
        <v>1.4456191185831022</v>
      </c>
      <c r="S80" s="4">
        <f t="shared" si="65"/>
        <v>0.80689344488340098</v>
      </c>
      <c r="T80" s="4" t="str">
        <f t="shared" si="51"/>
        <v>1+0,0130963379261691i</v>
      </c>
      <c r="U80" s="4">
        <f t="shared" si="66"/>
        <v>1.0000857533567191</v>
      </c>
      <c r="V80" s="4">
        <f t="shared" si="67"/>
        <v>1.3095589267817011E-2</v>
      </c>
      <c r="W80" t="str">
        <f t="shared" si="52"/>
        <v>1-0,00104229532420668i</v>
      </c>
      <c r="X80" s="4">
        <f t="shared" si="68"/>
        <v>1.0000005431896239</v>
      </c>
      <c r="Y80" s="4">
        <f t="shared" si="69"/>
        <v>-1.0422949467641534E-3</v>
      </c>
      <c r="Z80" t="str">
        <f t="shared" si="53"/>
        <v>0,999999993048797+0,00014320294741699i</v>
      </c>
      <c r="AA80" s="4">
        <f t="shared" si="70"/>
        <v>1.0000000033023393</v>
      </c>
      <c r="AB80" s="4">
        <f t="shared" si="71"/>
        <v>1.4320294743353114E-4</v>
      </c>
      <c r="AC80" s="47" t="str">
        <f t="shared" si="72"/>
        <v>26,4673057280986-26,9796203655062i</v>
      </c>
      <c r="AD80" s="20">
        <f t="shared" si="73"/>
        <v>31.548553712824678</v>
      </c>
      <c r="AE80" s="43">
        <f t="shared" si="74"/>
        <v>-45.549190939267454</v>
      </c>
      <c r="AF80" t="str">
        <f t="shared" si="54"/>
        <v>171,265703090588</v>
      </c>
      <c r="AG80" t="str">
        <f t="shared" si="55"/>
        <v>1+1,0339513319315i</v>
      </c>
      <c r="AH80">
        <f t="shared" si="75"/>
        <v>1.4384211333274142</v>
      </c>
      <c r="AI80">
        <f t="shared" si="76"/>
        <v>0.80208891632026713</v>
      </c>
      <c r="AJ80" t="str">
        <f t="shared" si="56"/>
        <v>1+0,0130963379261691i</v>
      </c>
      <c r="AK80">
        <f t="shared" si="77"/>
        <v>1.0000857533567191</v>
      </c>
      <c r="AL80">
        <f t="shared" si="78"/>
        <v>1.3095589267817011E-2</v>
      </c>
      <c r="AM80" t="str">
        <f t="shared" si="57"/>
        <v>1-0,000329297099285584i</v>
      </c>
      <c r="AN80">
        <f t="shared" si="79"/>
        <v>1.0000000542182883</v>
      </c>
      <c r="AO80">
        <f t="shared" si="80"/>
        <v>-3.2929708738296771E-4</v>
      </c>
      <c r="AP80" s="41" t="str">
        <f t="shared" si="81"/>
        <v>83,8678548826001-84,5287240384997i</v>
      </c>
      <c r="AQ80">
        <f t="shared" si="82"/>
        <v>41.516432216863265</v>
      </c>
      <c r="AR80" s="43">
        <f t="shared" si="83"/>
        <v>-45.224855037403437</v>
      </c>
      <c r="AS80" t="str">
        <f t="shared" si="58"/>
        <v>-0,0000166666666666667</v>
      </c>
      <c r="AT80" t="str">
        <f t="shared" si="59"/>
        <v>8,6802527774649E-07i</v>
      </c>
      <c r="AU80">
        <f t="shared" si="84"/>
        <v>8.6802527774649002E-7</v>
      </c>
      <c r="AV80">
        <f t="shared" si="85"/>
        <v>1.5707963267948966</v>
      </c>
      <c r="AW80" t="str">
        <f t="shared" si="60"/>
        <v>1+0,000292118678184195i</v>
      </c>
      <c r="AX80">
        <f t="shared" si="86"/>
        <v>1.0000000426666602</v>
      </c>
      <c r="AY80">
        <f t="shared" si="87"/>
        <v>2.9211866987504303E-4</v>
      </c>
      <c r="AZ80" t="str">
        <f t="shared" si="61"/>
        <v>1+0,0691486642501731i</v>
      </c>
      <c r="BA80">
        <f t="shared" si="88"/>
        <v>1.0023879178080626</v>
      </c>
      <c r="BB80">
        <f t="shared" si="89"/>
        <v>6.9038767048310301E-2</v>
      </c>
      <c r="BC80" s="41" t="str">
        <f t="shared" si="90"/>
        <v>-1,32209167677299+19,201055927725i</v>
      </c>
      <c r="BD80">
        <f t="shared" si="91"/>
        <v>25.687043638669724</v>
      </c>
      <c r="BE80" s="43">
        <f t="shared" si="92"/>
        <v>93.938892807754215</v>
      </c>
      <c r="BF80" s="41" t="str">
        <f t="shared" si="93"/>
        <v>483,044994937148+543,869749069148i</v>
      </c>
      <c r="BG80" s="20">
        <f t="shared" si="94"/>
        <v>57.235597351494398</v>
      </c>
      <c r="BH80" s="43">
        <f t="shared" si="95"/>
        <v>48.389701868486746</v>
      </c>
      <c r="BI80" s="41" t="str">
        <f t="shared" si="101"/>
        <v>1512,15976487338+1722,10609463867i</v>
      </c>
      <c r="BJ80" s="20">
        <f t="shared" si="97"/>
        <v>67.203475855533</v>
      </c>
      <c r="BK80" s="43">
        <f t="shared" si="102"/>
        <v>48.714037770350693</v>
      </c>
      <c r="BL80">
        <f t="shared" si="99"/>
        <v>57.235597351494398</v>
      </c>
      <c r="BM80" s="43">
        <f t="shared" si="100"/>
        <v>48.389701868486746</v>
      </c>
    </row>
    <row r="81" spans="14:65" x14ac:dyDescent="0.25">
      <c r="N81" s="9">
        <v>63</v>
      </c>
      <c r="O81" s="34">
        <f t="shared" si="62"/>
        <v>42.657951880159267</v>
      </c>
      <c r="P81" s="33" t="str">
        <f t="shared" si="50"/>
        <v>54,631621870174</v>
      </c>
      <c r="Q81" s="4" t="str">
        <f t="shared" si="63"/>
        <v>1+1,06825840387656i</v>
      </c>
      <c r="R81" s="4">
        <f t="shared" si="64"/>
        <v>1.4632757831157104</v>
      </c>
      <c r="S81" s="4">
        <f t="shared" si="65"/>
        <v>0.81838903043028066</v>
      </c>
      <c r="T81" s="4" t="str">
        <f t="shared" si="51"/>
        <v>1+0,0134013908243895i</v>
      </c>
      <c r="U81" s="4">
        <f t="shared" si="66"/>
        <v>1.0000897946064784</v>
      </c>
      <c r="V81" s="4">
        <f t="shared" si="67"/>
        <v>1.3400588626402254E-2</v>
      </c>
      <c r="W81" t="str">
        <f t="shared" si="52"/>
        <v>1-0,0010665735011477i</v>
      </c>
      <c r="X81" s="4">
        <f t="shared" si="68"/>
        <v>1.0000005687893549</v>
      </c>
      <c r="Y81" s="4">
        <f t="shared" si="69"/>
        <v>-1.0665730967107587E-3</v>
      </c>
      <c r="Z81" t="str">
        <f t="shared" si="53"/>
        <v>0,999999992721197+0,000146538572565755i</v>
      </c>
      <c r="AA81" s="4">
        <f t="shared" si="70"/>
        <v>1.0000000034579737</v>
      </c>
      <c r="AB81" s="4">
        <f t="shared" si="71"/>
        <v>1.4653857258347912E-4</v>
      </c>
      <c r="AC81" s="47" t="str">
        <f t="shared" si="72"/>
        <v>25,84739250202-26,9458289465628i</v>
      </c>
      <c r="AD81" s="20">
        <f t="shared" si="73"/>
        <v>31.443142993315242</v>
      </c>
      <c r="AE81" s="43">
        <f t="shared" si="74"/>
        <v>-46.191946450903281</v>
      </c>
      <c r="AF81" t="str">
        <f t="shared" si="54"/>
        <v>171,265703090588</v>
      </c>
      <c r="AG81" t="str">
        <f t="shared" si="55"/>
        <v>1+1,05803515232485i</v>
      </c>
      <c r="AH81">
        <f t="shared" si="75"/>
        <v>1.4558291052026224</v>
      </c>
      <c r="AI81">
        <f t="shared" si="76"/>
        <v>0.81358999306539892</v>
      </c>
      <c r="AJ81" t="str">
        <f t="shared" si="56"/>
        <v>1+0,0134013908243895i</v>
      </c>
      <c r="AK81">
        <f t="shared" si="77"/>
        <v>1.0000897946064784</v>
      </c>
      <c r="AL81">
        <f t="shared" si="78"/>
        <v>1.3400588626402254E-2</v>
      </c>
      <c r="AM81" t="str">
        <f t="shared" si="57"/>
        <v>1-0,000336967414077317i</v>
      </c>
      <c r="AN81">
        <f t="shared" si="79"/>
        <v>1.0000000567735174</v>
      </c>
      <c r="AO81">
        <f t="shared" si="80"/>
        <v>-3.3696740132343393E-4</v>
      </c>
      <c r="AP81" s="41" t="str">
        <f t="shared" si="81"/>
        <v>81,924446798282-84,4414568865091i</v>
      </c>
      <c r="AQ81">
        <f t="shared" si="82"/>
        <v>41.411980487388945</v>
      </c>
      <c r="AR81" s="43">
        <f t="shared" si="83"/>
        <v>-45.866782495370728</v>
      </c>
      <c r="AS81" t="str">
        <f t="shared" si="58"/>
        <v>-0,0000166666666666667</v>
      </c>
      <c r="AT81" t="str">
        <f t="shared" si="59"/>
        <v>8,88244183840538E-07i</v>
      </c>
      <c r="AU81">
        <f t="shared" si="84"/>
        <v>8.88244183840538E-7</v>
      </c>
      <c r="AV81">
        <f t="shared" si="85"/>
        <v>1.5707963267948966</v>
      </c>
      <c r="AW81" t="str">
        <f t="shared" si="60"/>
        <v>1+0,000298922996300204i</v>
      </c>
      <c r="AX81">
        <f t="shared" si="86"/>
        <v>1.0000000446774779</v>
      </c>
      <c r="AY81">
        <f t="shared" si="87"/>
        <v>2.9892298739678724E-4</v>
      </c>
      <c r="AZ81" t="str">
        <f t="shared" si="61"/>
        <v>1+0,0707593435527768i</v>
      </c>
      <c r="BA81">
        <f t="shared" si="88"/>
        <v>1.0025003165585635</v>
      </c>
      <c r="BB81">
        <f t="shared" si="89"/>
        <v>7.0641602435740816E-2</v>
      </c>
      <c r="BC81" s="41" t="str">
        <f t="shared" si="90"/>
        <v>-1,32209167145602+18,7640043213177i</v>
      </c>
      <c r="BD81">
        <f t="shared" si="91"/>
        <v>25.488017524014694</v>
      </c>
      <c r="BE81" s="43">
        <f t="shared" si="92"/>
        <v>94.030338652031773</v>
      </c>
      <c r="BF81" s="41" t="str">
        <f t="shared" si="93"/>
        <v>471,439028439016+520,625440633427i</v>
      </c>
      <c r="BG81" s="20">
        <f t="shared" si="94"/>
        <v>56.931160517329928</v>
      </c>
      <c r="BH81" s="43">
        <f t="shared" si="95"/>
        <v>47.838392201128507</v>
      </c>
      <c r="BI81" s="41" t="str">
        <f t="shared" si="101"/>
        <v>1476,14823311617+1648,87002061979i</v>
      </c>
      <c r="BJ81" s="20">
        <f t="shared" si="97"/>
        <v>66.899998011403639</v>
      </c>
      <c r="BK81" s="43">
        <f t="shared" si="102"/>
        <v>48.163556156660981</v>
      </c>
      <c r="BL81">
        <f t="shared" si="99"/>
        <v>56.931160517329928</v>
      </c>
      <c r="BM81" s="43">
        <f t="shared" si="100"/>
        <v>47.838392201128507</v>
      </c>
    </row>
    <row r="82" spans="14:65" x14ac:dyDescent="0.25">
      <c r="N82" s="9">
        <v>64</v>
      </c>
      <c r="O82" s="34">
        <f t="shared" si="62"/>
        <v>43.651583224016633</v>
      </c>
      <c r="P82" s="33" t="str">
        <f t="shared" si="50"/>
        <v>54,631621870174</v>
      </c>
      <c r="Q82" s="4" t="str">
        <f t="shared" si="63"/>
        <v>1+1,0931413386319i</v>
      </c>
      <c r="R82" s="4">
        <f t="shared" si="64"/>
        <v>1.4815390599730884</v>
      </c>
      <c r="S82" s="4">
        <f t="shared" si="65"/>
        <v>0.82986717911033747</v>
      </c>
      <c r="T82" s="4" t="str">
        <f t="shared" si="51"/>
        <v>1+0,0137135493174134i</v>
      </c>
      <c r="U82" s="4">
        <f t="shared" si="66"/>
        <v>1.0000940262969682</v>
      </c>
      <c r="V82" s="4">
        <f t="shared" si="67"/>
        <v>1.3712689751148092E-2</v>
      </c>
      <c r="W82" t="str">
        <f t="shared" si="52"/>
        <v>1-0,00109141718947678i</v>
      </c>
      <c r="X82" s="4">
        <f t="shared" si="68"/>
        <v>1.0000005955955633</v>
      </c>
      <c r="Y82" s="4">
        <f t="shared" si="69"/>
        <v>-1.0914167561148036E-3</v>
      </c>
      <c r="Z82" t="str">
        <f t="shared" si="53"/>
        <v>0,999999992378157+0,000149951894405361i</v>
      </c>
      <c r="AA82" s="4">
        <f t="shared" si="70"/>
        <v>1.0000000036209422</v>
      </c>
      <c r="AB82" s="4">
        <f t="shared" si="71"/>
        <v>1.4995189442435283E-4</v>
      </c>
      <c r="AC82" s="47" t="str">
        <f t="shared" si="72"/>
        <v>25,2293583747465-26,8978792849825i</v>
      </c>
      <c r="AD82" s="20">
        <f t="shared" si="73"/>
        <v>31.335441562862513</v>
      </c>
      <c r="AE82" s="43">
        <f t="shared" si="74"/>
        <v>-46.833332855431991</v>
      </c>
      <c r="AF82" t="str">
        <f t="shared" si="54"/>
        <v>171,265703090588</v>
      </c>
      <c r="AG82" t="str">
        <f t="shared" si="55"/>
        <v>1+1,08267995696072i</v>
      </c>
      <c r="AH82">
        <f t="shared" si="75"/>
        <v>1.4738371311662855</v>
      </c>
      <c r="AI82">
        <f t="shared" si="76"/>
        <v>0.82507615773016707</v>
      </c>
      <c r="AJ82" t="str">
        <f t="shared" si="56"/>
        <v>1+0,0137135493174134i</v>
      </c>
      <c r="AK82">
        <f t="shared" si="77"/>
        <v>1.0000940262969682</v>
      </c>
      <c r="AL82">
        <f t="shared" si="78"/>
        <v>1.3712689751148092E-2</v>
      </c>
      <c r="AM82" t="str">
        <f t="shared" si="57"/>
        <v>1-0,000344816393452286i</v>
      </c>
      <c r="AN82">
        <f t="shared" si="79"/>
        <v>1.0000000594491709</v>
      </c>
      <c r="AO82">
        <f t="shared" si="80"/>
        <v>-3.4481637978625411E-4</v>
      </c>
      <c r="AP82" s="41" t="str">
        <f t="shared" si="81"/>
        <v>79,9860747983048-84,3097145764331i</v>
      </c>
      <c r="AQ82">
        <f t="shared" si="82"/>
        <v>41.305235341012548</v>
      </c>
      <c r="AR82" s="43">
        <f t="shared" si="83"/>
        <v>-46.50745888956444</v>
      </c>
      <c r="AS82" t="str">
        <f t="shared" si="58"/>
        <v>-0,0000166666666666667</v>
      </c>
      <c r="AT82" t="str">
        <f t="shared" si="59"/>
        <v>9,08934048758161E-07i</v>
      </c>
      <c r="AU82">
        <f t="shared" si="84"/>
        <v>9.0893404875816103E-7</v>
      </c>
      <c r="AV82">
        <f t="shared" si="85"/>
        <v>1.5707963267948966</v>
      </c>
      <c r="AW82" t="str">
        <f t="shared" si="60"/>
        <v>1+0,000305885807345564i</v>
      </c>
      <c r="AX82">
        <f t="shared" si="86"/>
        <v>1.0000000467830625</v>
      </c>
      <c r="AY82">
        <f t="shared" si="87"/>
        <v>3.0588579780538105E-4</v>
      </c>
      <c r="AZ82" t="str">
        <f t="shared" si="61"/>
        <v>1+0,0724075403959427i</v>
      </c>
      <c r="BA82">
        <f t="shared" si="88"/>
        <v>1.0026179989937294</v>
      </c>
      <c r="BB82">
        <f t="shared" si="89"/>
        <v>7.2281396301302578E-2</v>
      </c>
      <c r="BC82" s="41" t="str">
        <f t="shared" si="90"/>
        <v>-1,32209166588846+18,3369016383725i</v>
      </c>
      <c r="BD82">
        <f t="shared" si="91"/>
        <v>25.289037073137344</v>
      </c>
      <c r="BE82" s="43">
        <f t="shared" si="92"/>
        <v>94.123892980149904</v>
      </c>
      <c r="BF82" s="41" t="str">
        <f t="shared" si="93"/>
        <v>459,868242286576+498,189724949725i</v>
      </c>
      <c r="BG82" s="20">
        <f t="shared" si="94"/>
        <v>56.624478635999857</v>
      </c>
      <c r="BH82" s="43">
        <f t="shared" si="95"/>
        <v>47.290560124717892</v>
      </c>
      <c r="BI82" s="41" t="str">
        <f t="shared" si="101"/>
        <v>1440,23002046934+1578,16195701096i</v>
      </c>
      <c r="BJ82" s="20">
        <f t="shared" si="97"/>
        <v>66.594272414149899</v>
      </c>
      <c r="BK82" s="43">
        <f t="shared" si="102"/>
        <v>47.616434090585585</v>
      </c>
      <c r="BL82">
        <f t="shared" si="99"/>
        <v>56.624478635999857</v>
      </c>
      <c r="BM82" s="43">
        <f t="shared" si="100"/>
        <v>47.290560124717892</v>
      </c>
    </row>
    <row r="83" spans="14:65" x14ac:dyDescent="0.25">
      <c r="N83" s="9">
        <v>65</v>
      </c>
      <c r="O83" s="34">
        <f t="shared" si="62"/>
        <v>44.668359215096324</v>
      </c>
      <c r="P83" s="33" t="str">
        <f t="shared" ref="P83:P146" si="103">COMPLEX(Adc,0)</f>
        <v>54,631621870174</v>
      </c>
      <c r="Q83" s="4" t="str">
        <f t="shared" ref="Q83:Q146" si="104">IMSUM(COMPLEX(1,0),IMDIV(COMPLEX(0,2*PI()*O83),COMPLEX(wp_lf,0)))</f>
        <v>1+1,11860387139443i</v>
      </c>
      <c r="R83" s="4">
        <f t="shared" si="64"/>
        <v>1.5004248135440197</v>
      </c>
      <c r="S83" s="4">
        <f t="shared" si="65"/>
        <v>0.84132188003477837</v>
      </c>
      <c r="T83" s="4" t="str">
        <f t="shared" ref="T83:T146" si="105">IMSUM(COMPLEX(1,0),IMDIV(COMPLEX(0,2*PI()*O83),COMPLEX(wz_esr,0)))</f>
        <v>1+0,0140329789158057i</v>
      </c>
      <c r="U83" s="4">
        <f t="shared" si="66"/>
        <v>1.0000984574016958</v>
      </c>
      <c r="V83" s="4">
        <f t="shared" si="67"/>
        <v>1.4032057878855449E-2</v>
      </c>
      <c r="W83" t="str">
        <f t="shared" ref="W83:W146" si="106">IMSUB(COMPLEX(1,0),IMDIV(COMPLEX(0,2*PI()*O83),COMPLEX(wz_rhp,0)))</f>
        <v>1-0,00111683956164635i</v>
      </c>
      <c r="X83" s="4">
        <f t="shared" si="68"/>
        <v>1.0000006236651087</v>
      </c>
      <c r="Y83" s="4">
        <f t="shared" si="69"/>
        <v>-1.1168390972906416E-3</v>
      </c>
      <c r="Z83" t="str">
        <f t="shared" ref="Z83:Z146" si="107">IMSUM(COMPLEX(1,0),IMDIV(COMPLEX(0,2*PI()*O83),COMPLEX(Q*(wsl/2),0)),IMDIV(IMPOWER(COMPLEX(0,2*PI()*O83),2),IMPOWER(COMPLEX(wsl/2,0),2)))</f>
        <v>0,999999992018951+0,00015344472272423i</v>
      </c>
      <c r="AA83" s="4">
        <f t="shared" si="70"/>
        <v>1.0000000037915924</v>
      </c>
      <c r="AB83" s="4">
        <f t="shared" si="71"/>
        <v>1.5344472274458003E-4</v>
      </c>
      <c r="AC83" s="47" t="str">
        <f t="shared" si="72"/>
        <v>24,6138466188158-26,8358975528682i</v>
      </c>
      <c r="AD83" s="20">
        <f t="shared" si="73"/>
        <v>31.225457652460737</v>
      </c>
      <c r="AE83" s="43">
        <f t="shared" si="74"/>
        <v>-47.472997145334567</v>
      </c>
      <c r="AF83" t="str">
        <f t="shared" ref="AF83:AF146" si="108">COMPLEX($B$72,0)</f>
        <v>171,265703090588</v>
      </c>
      <c r="AG83" t="str">
        <f t="shared" ref="AG83:AG146" si="109">IMSUM(COMPLEX(1,0),IMDIV(COMPLEX(0,2*PI()*O83),COMPLEX(wp_lf_DCM,0)))</f>
        <v>1+1,10789881284073i</v>
      </c>
      <c r="AH83">
        <f t="shared" si="75"/>
        <v>1.4924609808949443</v>
      </c>
      <c r="AI83">
        <f t="shared" si="76"/>
        <v>0.83654137832539344</v>
      </c>
      <c r="AJ83" t="str">
        <f t="shared" ref="AJ83:AJ146" si="110">IMSUM(COMPLEX(1,0),IMDIV(COMPLEX(0,2*PI()*O83),COMPLEX(wz1_dcm,0)))</f>
        <v>1+0,0140329789158057i</v>
      </c>
      <c r="AK83">
        <f t="shared" si="77"/>
        <v>1.0000984574016958</v>
      </c>
      <c r="AL83">
        <f t="shared" si="78"/>
        <v>1.4032057878855449E-2</v>
      </c>
      <c r="AM83" t="str">
        <f t="shared" ref="AM83:AM146" si="111">IMSUB(COMPLEX(1,0),IMDIV(COMPLEX(0,2*PI()*O83),COMPLEX(wz2_dcm,0)))</f>
        <v>1-0,000352848199043247i</v>
      </c>
      <c r="AN83">
        <f t="shared" si="79"/>
        <v>1.0000000622509237</v>
      </c>
      <c r="AO83">
        <f t="shared" si="80"/>
        <v>-3.5284818439983005E-4</v>
      </c>
      <c r="AP83" s="41" t="str">
        <f t="shared" si="81"/>
        <v>78,0547649655347-84,1338442363006i</v>
      </c>
      <c r="AQ83">
        <f t="shared" si="82"/>
        <v>41.196204010577702</v>
      </c>
      <c r="AR83" s="43">
        <f t="shared" si="83"/>
        <v>-47.146529383534961</v>
      </c>
      <c r="AS83" t="str">
        <f t="shared" ref="AS83:AS146" si="112">COMPLEX(Adc_ea,0)</f>
        <v>-0,0000166666666666667</v>
      </c>
      <c r="AT83" t="str">
        <f t="shared" ref="AT83:AT146" si="113">COMPLEX(0,2*PI()*O83*wp0_ea)</f>
        <v>9,30105842539599E-07i</v>
      </c>
      <c r="AU83">
        <f t="shared" si="84"/>
        <v>9.3010584253959896E-7</v>
      </c>
      <c r="AV83">
        <f t="shared" si="85"/>
        <v>1.5707963267948966</v>
      </c>
      <c r="AW83" t="str">
        <f t="shared" ref="AW83:AW146" si="114">IMSUM(COMPLEX(1,0),IMDIV(COMPLEX(0,2*PI()*O83),COMPLEX(wp1_ea,0)))</f>
        <v>1+0,000313010803094856i</v>
      </c>
      <c r="AX83">
        <f t="shared" si="86"/>
        <v>1.0000000489878802</v>
      </c>
      <c r="AY83">
        <f t="shared" si="87"/>
        <v>3.1301079287236587E-4</v>
      </c>
      <c r="AZ83" t="str">
        <f t="shared" ref="AZ83:AZ146" si="115">IMSUM(COMPLEX(1,0),IMDIV(COMPLEX(0,2*PI()*O83),COMPLEX(wz_ea,0)))</f>
        <v>1+0,0740941286754538i</v>
      </c>
      <c r="BA83">
        <f t="shared" si="88"/>
        <v>1.0027412128282027</v>
      </c>
      <c r="BB83">
        <f t="shared" si="89"/>
        <v>7.3958982791370531E-2</v>
      </c>
      <c r="BC83" s="41" t="str">
        <f t="shared" si="90"/>
        <v>-1,32209166005852+17,9195214233934i</v>
      </c>
      <c r="BD83">
        <f t="shared" si="91"/>
        <v>25.090104415647431</v>
      </c>
      <c r="BE83" s="43">
        <f t="shared" si="92"/>
        <v>94.219603373652561</v>
      </c>
      <c r="BF83" s="41" t="str">
        <f t="shared" si="93"/>
        <v>448,344679777916+476,547868142821i</v>
      </c>
      <c r="BG83" s="20">
        <f t="shared" si="94"/>
        <v>56.315562068108164</v>
      </c>
      <c r="BH83" s="43">
        <f t="shared" si="95"/>
        <v>46.746606228318036</v>
      </c>
      <c r="BI83" s="41" t="str">
        <f t="shared" si="101"/>
        <v>1404,44267043607+1509,93668679131i</v>
      </c>
      <c r="BJ83" s="20">
        <f t="shared" si="97"/>
        <v>66.286308426225119</v>
      </c>
      <c r="BK83" s="43">
        <f t="shared" si="102"/>
        <v>47.073073990117578</v>
      </c>
      <c r="BL83">
        <f t="shared" si="99"/>
        <v>56.315562068108164</v>
      </c>
      <c r="BM83" s="43">
        <f t="shared" si="100"/>
        <v>46.746606228318036</v>
      </c>
    </row>
    <row r="84" spans="14:65" x14ac:dyDescent="0.25">
      <c r="N84" s="9">
        <v>66</v>
      </c>
      <c r="O84" s="34">
        <f t="shared" ref="O84:O118" si="116">10^(1+(N84/100))</f>
        <v>45.70881896148753</v>
      </c>
      <c r="P84" s="33" t="str">
        <f t="shared" si="103"/>
        <v>54,631621870174</v>
      </c>
      <c r="Q84" s="4" t="str">
        <f t="shared" si="104"/>
        <v>1+1,14465950273604i</v>
      </c>
      <c r="R84" s="4">
        <f t="shared" ref="R84:R147" si="117">IMABS(Q84)</f>
        <v>1.5199491363871087</v>
      </c>
      <c r="S84" s="4">
        <f t="shared" ref="S84:S147" si="118">IMARGUMENT(Q84)</f>
        <v>0.85274718383320258</v>
      </c>
      <c r="T84" s="4" t="str">
        <f t="shared" si="105"/>
        <v>1+0,0143598489853675i</v>
      </c>
      <c r="U84" s="4">
        <f t="shared" ref="U84:U147" si="119">IMABS(T84)</f>
        <v>1.0001030973169129</v>
      </c>
      <c r="V84" s="4">
        <f t="shared" ref="V84:V147" si="120">IMARGUMENT(T84)</f>
        <v>1.43588620819891E-2</v>
      </c>
      <c r="W84" t="str">
        <f t="shared" si="106"/>
        <v>1-0,00114285409693462i</v>
      </c>
      <c r="X84" s="4">
        <f t="shared" ref="X84:X147" si="121">IMABS(W84)</f>
        <v>1.0000006530575303</v>
      </c>
      <c r="Y84" s="4">
        <f t="shared" ref="Y84:Y147" si="122">IMARGUMENT(W84)</f>
        <v>-1.1428535993685315E-3</v>
      </c>
      <c r="Z84" t="str">
        <f t="shared" si="107"/>
        <v>0,999999991642816+0,000157018909466168i</v>
      </c>
      <c r="AA84" s="4">
        <f t="shared" ref="AA84:AA147" si="123">IMABS(Z84)</f>
        <v>1.000000003970285</v>
      </c>
      <c r="AB84" s="4">
        <f t="shared" ref="AB84:AB147" si="124">IMARGUMENT(Z84)</f>
        <v>1.5701890948797341E-4</v>
      </c>
      <c r="AC84" s="47" t="str">
        <f t="shared" ref="AC84:AC147" si="125">(IMDIV(IMPRODUCT(P84,T84,W84),IMPRODUCT(Q84,Z84)))</f>
        <v>24,0014899466067-26,7600460303691i</v>
      </c>
      <c r="AD84" s="20">
        <f t="shared" ref="AD84:AD147" si="126">20*LOG(IMABS(AC84))</f>
        <v>31.113201860206921</v>
      </c>
      <c r="AE84" s="43">
        <f t="shared" ref="AE84:AE147" si="127">(180/PI())*IMARGUMENT(AC84)</f>
        <v>-48.110589638063338</v>
      </c>
      <c r="AF84" t="str">
        <f t="shared" si="108"/>
        <v>171,265703090588</v>
      </c>
      <c r="AG84" t="str">
        <f t="shared" si="109"/>
        <v>1+1,13370509133609i</v>
      </c>
      <c r="AH84">
        <f t="shared" ref="AH84:AH147" si="128">IMABS(AG84)</f>
        <v>1.5117166514004443</v>
      </c>
      <c r="AI84">
        <f t="shared" ref="AI84:AI147" si="129">IMARGUMENT(AG84)</f>
        <v>0.84797967791825257</v>
      </c>
      <c r="AJ84" t="str">
        <f t="shared" si="110"/>
        <v>1+0,0143598489853675i</v>
      </c>
      <c r="AK84">
        <f t="shared" ref="AK84:AK147" si="130">IMABS(AJ84)</f>
        <v>1.0001030973169129</v>
      </c>
      <c r="AL84">
        <f t="shared" ref="AL84:AL147" si="131">IMARGUMENT(AJ84)</f>
        <v>1.43588620819891E-2</v>
      </c>
      <c r="AM84" t="str">
        <f t="shared" si="111"/>
        <v>1-0,00036106708941984i</v>
      </c>
      <c r="AN84">
        <f t="shared" ref="AN84:AN147" si="132">IMABS(AM84)</f>
        <v>1.0000000651847194</v>
      </c>
      <c r="AO84">
        <f t="shared" ref="AO84:AO147" si="133">IMARGUMENT(AM84)</f>
        <v>-3.610670737291361E-4</v>
      </c>
      <c r="AP84" s="41" t="str">
        <f t="shared" ref="AP84:AP147" si="134">(IMDIV(IMPRODUCT(AF84,AJ84,AM84),IMPRODUCT(AG84)))</f>
        <v>76,1325137444597-83,9143072244875i</v>
      </c>
      <c r="AQ84">
        <f t="shared" ref="AQ84:AQ147" si="135">20*LOG(IMABS(AP84))</f>
        <v>41.084896111495141</v>
      </c>
      <c r="AR84" s="43">
        <f t="shared" ref="AR84:AR147" si="136">(180/PI())*IMARGUMENT(AP84)</f>
        <v>-47.783642081116163</v>
      </c>
      <c r="AS84" t="str">
        <f t="shared" si="112"/>
        <v>-0,0000166666666666667</v>
      </c>
      <c r="AT84" t="str">
        <f t="shared" si="113"/>
        <v>9,51770790750158E-07i</v>
      </c>
      <c r="AU84">
        <f t="shared" ref="AU84:AU147" si="137">IMABS(AT84)</f>
        <v>9.5177079075015796E-7</v>
      </c>
      <c r="AV84">
        <f t="shared" ref="AV84:AV147" si="138">IMARGUMENT(AT84)</f>
        <v>1.5707963267948966</v>
      </c>
      <c r="AW84" t="str">
        <f t="shared" si="114"/>
        <v>1+0,000320301761315137i</v>
      </c>
      <c r="AX84">
        <f t="shared" ref="AX84:AX147" si="139">IMABS(AW84)</f>
        <v>1.0000000512966079</v>
      </c>
      <c r="AY84">
        <f t="shared" ref="AY84:AY147" si="140">IMARGUMENT(AW84)</f>
        <v>3.2030175036154151E-4</v>
      </c>
      <c r="AZ84" t="str">
        <f t="shared" si="115"/>
        <v>1+0,0758200026427404i</v>
      </c>
      <c r="BA84">
        <f t="shared" ref="BA84:BA147" si="141">IMABS(AZ84)</f>
        <v>1.0028702173266215</v>
      </c>
      <c r="BB84">
        <f t="shared" ref="BB84:BB147" si="142">IMARGUMENT(AZ84)</f>
        <v>7.567521359353481E-2</v>
      </c>
      <c r="BC84" s="41" t="str">
        <f t="shared" ref="BC84:BC147" si="143">IMPRODUCT(AS84,IMDIV(AZ84,IMPRODUCT(AT84,AW84)))</f>
        <v>-1,32209165395382+17,5116423758655i</v>
      </c>
      <c r="BD84">
        <f t="shared" ref="BD84:BD147" si="144">20*LOG(IMABS(BC84))</f>
        <v>24.891221779371122</v>
      </c>
      <c r="BE84" s="43">
        <f t="shared" ref="BE84:BE147" si="145">(180/PI())*IMARGUMENT(BC84)</f>
        <v>94.317518414194211</v>
      </c>
      <c r="BF84" s="41" t="str">
        <f t="shared" ref="BF84:BF147" si="146">IMPRODUCT(AC84,BC84)</f>
        <v>436,880186504658+455,684741949079i</v>
      </c>
      <c r="BG84" s="20">
        <f t="shared" ref="BG84:BG147" si="147">20*LOG(IMABS(BF84))</f>
        <v>56.00442363957805</v>
      </c>
      <c r="BH84" s="43">
        <f t="shared" ref="BH84:BH147" si="148">(180/PI())*IMARGUMENT(BF84)</f>
        <v>46.20692877613088</v>
      </c>
      <c r="BI84" s="41" t="str">
        <f t="shared" si="101"/>
        <v>1368,82317731766+1444,14775909745i</v>
      </c>
      <c r="BJ84" s="20">
        <f t="shared" ref="BJ84:BJ147" si="149">20*LOG(IMABS(BI84))</f>
        <v>65.976117890866249</v>
      </c>
      <c r="BK84" s="43">
        <f t="shared" si="102"/>
        <v>46.533876333077899</v>
      </c>
      <c r="BL84">
        <f t="shared" ref="BL84:BL147" si="150">IF($B$31=0,BJ84,BG84)</f>
        <v>56.00442363957805</v>
      </c>
      <c r="BM84" s="43">
        <f t="shared" ref="BM84:BM147" si="151">IF($B$31=0,BK84,BH84)</f>
        <v>46.20692877613088</v>
      </c>
    </row>
    <row r="85" spans="14:65" x14ac:dyDescent="0.25">
      <c r="N85" s="9">
        <v>67</v>
      </c>
      <c r="O85" s="34">
        <f t="shared" si="116"/>
        <v>46.773514128719818</v>
      </c>
      <c r="P85" s="33" t="str">
        <f t="shared" si="103"/>
        <v>54,631621870174</v>
      </c>
      <c r="Q85" s="4" t="str">
        <f t="shared" si="104"/>
        <v>1+1,17132204769736i</v>
      </c>
      <c r="R85" s="4">
        <f t="shared" si="117"/>
        <v>1.540128351606429</v>
      </c>
      <c r="S85" s="4">
        <f t="shared" si="118"/>
        <v>0.86413721783630604</v>
      </c>
      <c r="T85" s="4" t="str">
        <f t="shared" si="105"/>
        <v>1+0,0146943328369365i</v>
      </c>
      <c r="U85" s="4">
        <f t="shared" si="119"/>
        <v>1.0001079558815251</v>
      </c>
      <c r="V85" s="4">
        <f t="shared" si="120"/>
        <v>1.4693275357079129E-2</v>
      </c>
      <c r="W85" t="str">
        <f t="shared" si="106"/>
        <v>1-0,00116947458859254i</v>
      </c>
      <c r="X85" s="4">
        <f t="shared" si="121"/>
        <v>1.0000006838351727</v>
      </c>
      <c r="Y85" s="4">
        <f t="shared" si="122"/>
        <v>-1.1694740554408902E-3</v>
      </c>
      <c r="Z85" t="str">
        <f t="shared" si="107"/>
        <v>0,999999991248954+0,000160676349712296i</v>
      </c>
      <c r="AA85" s="4">
        <f t="shared" si="123"/>
        <v>1.0000000041573986</v>
      </c>
      <c r="AB85" s="4">
        <f t="shared" si="124"/>
        <v>1.6067634973566093E-4</v>
      </c>
      <c r="AC85" s="47" t="str">
        <f t="shared" si="125"/>
        <v>23,3929079528786-26,6705220762551i</v>
      </c>
      <c r="AD85" s="20">
        <f t="shared" si="126"/>
        <v>30.998687107600581</v>
      </c>
      <c r="AE85" s="43">
        <f t="shared" si="127"/>
        <v>-48.74576484134743</v>
      </c>
      <c r="AF85" t="str">
        <f t="shared" si="108"/>
        <v>171,265703090588</v>
      </c>
      <c r="AG85" t="str">
        <f t="shared" si="109"/>
        <v>1+1,16011247527723i</v>
      </c>
      <c r="AH85">
        <f t="shared" si="128"/>
        <v>1.5316203691822141</v>
      </c>
      <c r="AI85">
        <f t="shared" si="129"/>
        <v>0.85938514999006765</v>
      </c>
      <c r="AJ85" t="str">
        <f t="shared" si="110"/>
        <v>1+0,0146943328369365i</v>
      </c>
      <c r="AK85">
        <f t="shared" si="130"/>
        <v>1.0001079558815251</v>
      </c>
      <c r="AL85">
        <f t="shared" si="131"/>
        <v>1.4693275357079129E-2</v>
      </c>
      <c r="AM85" t="str">
        <f t="shared" si="111"/>
        <v>1-0,00036947742234653i</v>
      </c>
      <c r="AN85">
        <f t="shared" si="132"/>
        <v>1.0000000682567804</v>
      </c>
      <c r="AO85">
        <f t="shared" si="133"/>
        <v>-3.6947740553363792E-4</v>
      </c>
      <c r="AP85" s="41" t="str">
        <f t="shared" si="134"/>
        <v>74,2212798005993-83,6516761934664i</v>
      </c>
      <c r="AQ85">
        <f t="shared" si="135"/>
        <v>40.971323602029869</v>
      </c>
      <c r="AR85" s="43">
        <f t="shared" si="136"/>
        <v>-48.418448901426416</v>
      </c>
      <c r="AS85" t="str">
        <f t="shared" si="112"/>
        <v>-0,0000166666666666667</v>
      </c>
      <c r="AT85" t="str">
        <f t="shared" si="113"/>
        <v>9,73940380432148E-07i</v>
      </c>
      <c r="AU85">
        <f t="shared" si="137"/>
        <v>9.73940380432148E-7</v>
      </c>
      <c r="AV85">
        <f t="shared" si="138"/>
        <v>1.5707963267948966</v>
      </c>
      <c r="AW85" t="str">
        <f t="shared" si="114"/>
        <v>1+0,000327762547768963i</v>
      </c>
      <c r="AX85">
        <f t="shared" si="139"/>
        <v>1.0000000537141425</v>
      </c>
      <c r="AY85">
        <f t="shared" si="140"/>
        <v>3.2776253603197401E-4</v>
      </c>
      <c r="AZ85" t="str">
        <f t="shared" si="115"/>
        <v>1+0,0775860773790244i</v>
      </c>
      <c r="BA85">
        <f t="shared" si="141"/>
        <v>1.0030052838360644</v>
      </c>
      <c r="BB85">
        <f t="shared" si="142"/>
        <v>7.7430958212895487E-2</v>
      </c>
      <c r="BC85" s="41" t="str">
        <f t="shared" si="143"/>
        <v>-1,32209164756142+17,1130482329194i</v>
      </c>
      <c r="BD85">
        <f t="shared" si="144"/>
        <v>24.692391494775563</v>
      </c>
      <c r="BE85" s="43">
        <f t="shared" si="145"/>
        <v>94.417687699255595</v>
      </c>
      <c r="BF85" s="41" t="str">
        <f t="shared" si="146"/>
        <v>425,486362471421+435,584836578975i</v>
      </c>
      <c r="BG85" s="20">
        <f t="shared" si="147"/>
        <v>55.691078602376152</v>
      </c>
      <c r="BH85" s="43">
        <f t="shared" si="148"/>
        <v>45.671922857908207</v>
      </c>
      <c r="BI85" s="41" t="str">
        <f t="shared" si="101"/>
        <v>1333,40783536765+1380,74752353656i</v>
      </c>
      <c r="BJ85" s="20">
        <f t="shared" si="149"/>
        <v>65.663715096805419</v>
      </c>
      <c r="BK85" s="43">
        <f t="shared" si="102"/>
        <v>45.999238797829349</v>
      </c>
      <c r="BL85">
        <f t="shared" si="150"/>
        <v>55.691078602376152</v>
      </c>
      <c r="BM85" s="43">
        <f t="shared" si="151"/>
        <v>45.671922857908207</v>
      </c>
    </row>
    <row r="86" spans="14:65" x14ac:dyDescent="0.25">
      <c r="N86" s="9">
        <v>68</v>
      </c>
      <c r="O86" s="34">
        <f t="shared" si="116"/>
        <v>47.863009232263877</v>
      </c>
      <c r="P86" s="33" t="str">
        <f t="shared" si="103"/>
        <v>54,631621870174</v>
      </c>
      <c r="Q86" s="4" t="str">
        <f t="shared" si="104"/>
        <v>1+1,19860564311266i</v>
      </c>
      <c r="R86" s="4">
        <f t="shared" si="117"/>
        <v>1.5609790157787238</v>
      </c>
      <c r="S86" s="4">
        <f t="shared" si="118"/>
        <v>0.87548620077416139</v>
      </c>
      <c r="T86" s="4" t="str">
        <f t="shared" si="105"/>
        <v>1+0,0150366078182781i</v>
      </c>
      <c r="U86" s="4">
        <f t="shared" si="119"/>
        <v>1.0001130433979355</v>
      </c>
      <c r="V86" s="4">
        <f t="shared" si="120"/>
        <v>1.5035474715113163E-2</v>
      </c>
      <c r="W86" t="str">
        <f t="shared" si="106"/>
        <v>1-0,00119671515115717i</v>
      </c>
      <c r="X86" s="4">
        <f t="shared" si="121"/>
        <v>1.0000007160633202</v>
      </c>
      <c r="Y86" s="4">
        <f t="shared" si="122"/>
        <v>-1.1967145798749068E-3</v>
      </c>
      <c r="Z86" t="str">
        <f t="shared" si="107"/>
        <v>0,999999990836529+0,000164418982685844i</v>
      </c>
      <c r="AA86" s="4">
        <f t="shared" si="123"/>
        <v>1.0000000043533301</v>
      </c>
      <c r="AB86" s="4">
        <f t="shared" si="124"/>
        <v>1.6441898271088012E-4</v>
      </c>
      <c r="AC86" s="47" t="str">
        <f t="shared" si="125"/>
        <v>22,7887046722852-26,5675568872742i</v>
      </c>
      <c r="AD86" s="20">
        <f t="shared" si="126"/>
        <v>30.881928586587549</v>
      </c>
      <c r="AE86" s="43">
        <f t="shared" si="127"/>
        <v>-49.378182290640687</v>
      </c>
      <c r="AF86" t="str">
        <f t="shared" si="108"/>
        <v>171,265703090588</v>
      </c>
      <c r="AG86" t="str">
        <f t="shared" si="109"/>
        <v>1+1,18713496620867i</v>
      </c>
      <c r="AH86">
        <f t="shared" si="128"/>
        <v>1.5521885929213819</v>
      </c>
      <c r="AI86">
        <f t="shared" si="129"/>
        <v>0.87075197334784704</v>
      </c>
      <c r="AJ86" t="str">
        <f t="shared" si="110"/>
        <v>1+0,0150366078182781i</v>
      </c>
      <c r="AK86">
        <f t="shared" si="130"/>
        <v>1.0001130433979355</v>
      </c>
      <c r="AL86">
        <f t="shared" si="131"/>
        <v>1.5035474715113163E-2</v>
      </c>
      <c r="AM86" t="str">
        <f t="shared" si="111"/>
        <v>1-0,000378083657093161i</v>
      </c>
      <c r="AN86">
        <f t="shared" si="132"/>
        <v>1.0000000714736232</v>
      </c>
      <c r="AO86">
        <f t="shared" si="133"/>
        <v>-3.7808363907782265E-4</v>
      </c>
      <c r="AP86" s="41" t="str">
        <f t="shared" si="134"/>
        <v>72,3229762124334-83,3466314753218i</v>
      </c>
      <c r="AQ86">
        <f t="shared" si="135"/>
        <v>40.855500734160586</v>
      </c>
      <c r="AR86" s="43">
        <f t="shared" si="136"/>
        <v>-49.050606428190015</v>
      </c>
      <c r="AS86" t="str">
        <f t="shared" si="112"/>
        <v>-0,0000166666666666667</v>
      </c>
      <c r="AT86" t="str">
        <f t="shared" si="113"/>
        <v>9,9662636619547E-07i</v>
      </c>
      <c r="AU86">
        <f t="shared" si="137"/>
        <v>9.9662636619547006E-7</v>
      </c>
      <c r="AV86">
        <f t="shared" si="138"/>
        <v>1.5707963267948966</v>
      </c>
      <c r="AW86" t="str">
        <f t="shared" si="114"/>
        <v>1+0,000335397118264066i</v>
      </c>
      <c r="AX86">
        <f t="shared" si="139"/>
        <v>1.0000000562456119</v>
      </c>
      <c r="AY86">
        <f t="shared" si="140"/>
        <v>3.353971056876557E-4</v>
      </c>
      <c r="AZ86" t="str">
        <f t="shared" si="115"/>
        <v>1+0,0793932892805081i</v>
      </c>
      <c r="BA86">
        <f t="shared" si="141"/>
        <v>1.0031466963424536</v>
      </c>
      <c r="BB86">
        <f t="shared" si="142"/>
        <v>7.9227104245665855E-2</v>
      </c>
      <c r="BC86" s="41" t="str">
        <f t="shared" si="143"/>
        <v>-1,32209164086775+16,7235276546639i</v>
      </c>
      <c r="BD86">
        <f t="shared" si="144"/>
        <v>24.493615999581145</v>
      </c>
      <c r="BE86" s="43">
        <f t="shared" si="145"/>
        <v>94.520161857702846</v>
      </c>
      <c r="BF86" s="41" t="str">
        <f t="shared" si="146"/>
        <v>414,174516367754+416,232277679874i</v>
      </c>
      <c r="BG86" s="20">
        <f t="shared" si="147"/>
        <v>55.375544586168701</v>
      </c>
      <c r="BH86" s="43">
        <f t="shared" si="148"/>
        <v>45.141979567062222</v>
      </c>
      <c r="BI86" s="41" t="str">
        <f t="shared" si="101"/>
        <v>1298,23209410749+1319,68717752424i</v>
      </c>
      <c r="BJ86" s="20">
        <f t="shared" si="149"/>
        <v>65.349116733741738</v>
      </c>
      <c r="BK86" s="43">
        <f t="shared" si="102"/>
        <v>45.46955542951288</v>
      </c>
      <c r="BL86">
        <f t="shared" si="150"/>
        <v>55.375544586168701</v>
      </c>
      <c r="BM86" s="43">
        <f t="shared" si="151"/>
        <v>45.141979567062222</v>
      </c>
    </row>
    <row r="87" spans="14:65" x14ac:dyDescent="0.25">
      <c r="N87" s="9">
        <v>69</v>
      </c>
      <c r="O87" s="34">
        <f t="shared" si="116"/>
        <v>48.977881936844632</v>
      </c>
      <c r="P87" s="33" t="str">
        <f t="shared" si="103"/>
        <v>54,631621870174</v>
      </c>
      <c r="Q87" s="4" t="str">
        <f t="shared" si="104"/>
        <v>1+1,22652475510535i</v>
      </c>
      <c r="R87" s="4">
        <f t="shared" si="117"/>
        <v>1.5825179224534043</v>
      </c>
      <c r="S87" s="4">
        <f t="shared" si="118"/>
        <v>0.88678845690303587</v>
      </c>
      <c r="T87" s="4" t="str">
        <f t="shared" si="105"/>
        <v>1+0,0153868554081179i</v>
      </c>
      <c r="U87" s="4">
        <f t="shared" si="119"/>
        <v>1.0001183706538692</v>
      </c>
      <c r="V87" s="4">
        <f t="shared" si="120"/>
        <v>1.5385641273962884E-2</v>
      </c>
      <c r="W87" t="str">
        <f t="shared" si="106"/>
        <v>1-0,00122459022793534i</v>
      </c>
      <c r="X87" s="4">
        <f t="shared" si="121"/>
        <v>1.000000749810332</v>
      </c>
      <c r="Y87" s="4">
        <f t="shared" si="122"/>
        <v>-1.2245896157953911E-3</v>
      </c>
      <c r="Z87" t="str">
        <f t="shared" si="107"/>
        <v>0,999999990404668+0,000168248792780355i</v>
      </c>
      <c r="AA87" s="4">
        <f t="shared" si="123"/>
        <v>1.0000000045584962</v>
      </c>
      <c r="AB87" s="4">
        <f t="shared" si="124"/>
        <v>1.6824879280718169E-4</v>
      </c>
      <c r="AC87" s="47" t="str">
        <f t="shared" si="125"/>
        <v>22,1894662716832-26,4514140606627i</v>
      </c>
      <c r="AD87" s="20">
        <f t="shared" si="126"/>
        <v>30.762943697811167</v>
      </c>
      <c r="AE87" s="43">
        <f t="shared" si="127"/>
        <v>-50.007507353719141</v>
      </c>
      <c r="AF87" t="str">
        <f t="shared" si="108"/>
        <v>171,265703090588</v>
      </c>
      <c r="AG87" t="str">
        <f t="shared" si="109"/>
        <v>1+1,21478689181278i</v>
      </c>
      <c r="AH87">
        <f t="shared" si="128"/>
        <v>1.5734380167391899</v>
      </c>
      <c r="AI87">
        <f t="shared" si="129"/>
        <v>0.88207442649993695</v>
      </c>
      <c r="AJ87" t="str">
        <f t="shared" si="110"/>
        <v>1+0,0153868554081179i</v>
      </c>
      <c r="AK87">
        <f t="shared" si="130"/>
        <v>1.0001183706538692</v>
      </c>
      <c r="AL87">
        <f t="shared" si="131"/>
        <v>1.5385641273962884E-2</v>
      </c>
      <c r="AM87" t="str">
        <f t="shared" si="111"/>
        <v>1-0,000386890356799312i</v>
      </c>
      <c r="AN87">
        <f t="shared" si="132"/>
        <v>1.0000000748420712</v>
      </c>
      <c r="AO87">
        <f t="shared" si="133"/>
        <v>-3.8689033749552928E-4</v>
      </c>
      <c r="AP87" s="41" t="str">
        <f t="shared" si="134"/>
        <v>70,4394630602915-82,9999568311244i</v>
      </c>
      <c r="AQ87">
        <f t="shared" si="135"/>
        <v>40.737443995444302</v>
      </c>
      <c r="AR87" s="43">
        <f t="shared" si="136"/>
        <v>-49.679776728241485</v>
      </c>
      <c r="AS87" t="str">
        <f t="shared" si="112"/>
        <v>-0,0000166666666666667</v>
      </c>
      <c r="AT87" t="str">
        <f t="shared" si="113"/>
        <v>1,01984077645006E-06i</v>
      </c>
      <c r="AU87">
        <f t="shared" si="137"/>
        <v>1.01984077645006E-6</v>
      </c>
      <c r="AV87">
        <f t="shared" si="138"/>
        <v>1.5707963267948966</v>
      </c>
      <c r="AW87" t="str">
        <f t="shared" si="114"/>
        <v>1+0,000343209520750778i</v>
      </c>
      <c r="AX87">
        <f t="shared" si="139"/>
        <v>1.0000000588963858</v>
      </c>
      <c r="AY87">
        <f t="shared" si="140"/>
        <v>3.4320950727491161E-4</v>
      </c>
      <c r="AZ87" t="str">
        <f t="shared" si="115"/>
        <v>1+0,0812425965548627i</v>
      </c>
      <c r="BA87">
        <f t="shared" si="141"/>
        <v>1.0032947520519462</v>
      </c>
      <c r="BB87">
        <f t="shared" si="142"/>
        <v>8.1064557649406621E-2</v>
      </c>
      <c r="BC87" s="41" t="str">
        <f t="shared" si="143"/>
        <v>-1,32209163385861+16,3428741121328i</v>
      </c>
      <c r="BD87">
        <f t="shared" si="144"/>
        <v>24.294897843571949</v>
      </c>
      <c r="BE87" s="43">
        <f t="shared" si="145"/>
        <v>94.624992565150308</v>
      </c>
      <c r="BF87" s="41" t="str">
        <f t="shared" si="146"/>
        <v>402,95562236373+397,610847126867i</v>
      </c>
      <c r="BG87" s="20">
        <f t="shared" si="147"/>
        <v>55.057841541383112</v>
      </c>
      <c r="BH87" s="43">
        <f t="shared" si="148"/>
        <v>44.617485211431124</v>
      </c>
      <c r="BI87" s="41" t="str">
        <f t="shared" si="101"/>
        <v>1263,33042099802+1260,91682585763i</v>
      </c>
      <c r="BJ87" s="20">
        <f t="shared" si="149"/>
        <v>65.032341839016269</v>
      </c>
      <c r="BK87" s="43">
        <f t="shared" si="102"/>
        <v>44.945215836908858</v>
      </c>
      <c r="BL87">
        <f t="shared" si="150"/>
        <v>55.057841541383112</v>
      </c>
      <c r="BM87" s="43">
        <f t="shared" si="151"/>
        <v>44.617485211431124</v>
      </c>
    </row>
    <row r="88" spans="14:65" x14ac:dyDescent="0.25">
      <c r="N88" s="9">
        <v>70</v>
      </c>
      <c r="O88" s="34">
        <f t="shared" si="116"/>
        <v>50.118723362727238</v>
      </c>
      <c r="P88" s="33" t="str">
        <f t="shared" si="103"/>
        <v>54,631621870174</v>
      </c>
      <c r="Q88" s="4" t="str">
        <f t="shared" si="104"/>
        <v>1+1,25509418675817i</v>
      </c>
      <c r="R88" s="4">
        <f t="shared" si="117"/>
        <v>1.6047621062432127</v>
      </c>
      <c r="S88" s="4">
        <f t="shared" si="118"/>
        <v>0.89803842948029977</v>
      </c>
      <c r="T88" s="4" t="str">
        <f t="shared" si="105"/>
        <v>1+0,0157452613123643i</v>
      </c>
      <c r="U88" s="4">
        <f t="shared" si="119"/>
        <v>1.0001239489452269</v>
      </c>
      <c r="V88" s="4">
        <f t="shared" si="120"/>
        <v>1.5743960352885944E-2</v>
      </c>
      <c r="W88" t="str">
        <f t="shared" si="106"/>
        <v>1-0,00125311459866172i</v>
      </c>
      <c r="X88" s="4">
        <f t="shared" si="121"/>
        <v>1.0000007851477903</v>
      </c>
      <c r="Y88" s="4">
        <f t="shared" si="122"/>
        <v>-1.2531139427419749E-3</v>
      </c>
      <c r="Z88" t="str">
        <f t="shared" si="107"/>
        <v>0,999999989952454+0,000172167810611834i</v>
      </c>
      <c r="AA88" s="4">
        <f t="shared" si="123"/>
        <v>1.0000000047733317</v>
      </c>
      <c r="AB88" s="4">
        <f t="shared" si="124"/>
        <v>1.7216781064057933E-4</v>
      </c>
      <c r="AC88" s="47" t="str">
        <f t="shared" si="125"/>
        <v>21,5957588950711-26,3223879762183i</v>
      </c>
      <c r="AD88" s="20">
        <f t="shared" si="126"/>
        <v>30.641751980603726</v>
      </c>
      <c r="AE88" s="43">
        <f t="shared" si="127"/>
        <v>-50.633411997822314</v>
      </c>
      <c r="AF88" t="str">
        <f t="shared" si="108"/>
        <v>171,265703090588</v>
      </c>
      <c r="AG88" t="str">
        <f t="shared" si="109"/>
        <v>1+1,24308291350654i</v>
      </c>
      <c r="AH88">
        <f t="shared" si="128"/>
        <v>1.5953855740390497</v>
      </c>
      <c r="AI88">
        <f t="shared" si="129"/>
        <v>0.89334690141251916</v>
      </c>
      <c r="AJ88" t="str">
        <f t="shared" si="110"/>
        <v>1+0,0157452613123643i</v>
      </c>
      <c r="AK88">
        <f t="shared" si="130"/>
        <v>1.0001239489452269</v>
      </c>
      <c r="AL88">
        <f t="shared" si="131"/>
        <v>1.5743960352885944E-2</v>
      </c>
      <c r="AM88" t="str">
        <f t="shared" si="111"/>
        <v>1-0,000395902190893736i</v>
      </c>
      <c r="AN88">
        <f t="shared" si="132"/>
        <v>1.0000000783692693</v>
      </c>
      <c r="AO88">
        <f t="shared" si="133"/>
        <v>-3.9590217020936017E-4</v>
      </c>
      <c r="AP88" s="41" t="str">
        <f t="shared" si="134"/>
        <v>68,5725404707526-82,6125346129996i</v>
      </c>
      <c r="AQ88">
        <f t="shared" si="135"/>
        <v>40.617172042391033</v>
      </c>
      <c r="AR88" s="43">
        <f t="shared" si="136"/>
        <v>-50.305628134438365</v>
      </c>
      <c r="AS88" t="str">
        <f t="shared" si="112"/>
        <v>-0,0000166666666666667</v>
      </c>
      <c r="AT88" t="str">
        <f t="shared" si="113"/>
        <v>1,04359591978351E-06i</v>
      </c>
      <c r="AU88">
        <f t="shared" si="137"/>
        <v>1.0435959197835101E-6</v>
      </c>
      <c r="AV88">
        <f t="shared" si="138"/>
        <v>1.5707963267948966</v>
      </c>
      <c r="AW88" t="str">
        <f t="shared" si="114"/>
        <v>1+0,000351203897468307i</v>
      </c>
      <c r="AX88">
        <f t="shared" si="139"/>
        <v>1.0000000616720868</v>
      </c>
      <c r="AY88">
        <f t="shared" si="140"/>
        <v>3.5120388302865607E-4</v>
      </c>
      <c r="AZ88" t="str">
        <f t="shared" si="115"/>
        <v>1+0,0831349797292835i</v>
      </c>
      <c r="BA88">
        <f t="shared" si="141"/>
        <v>1.0034497619983715</v>
      </c>
      <c r="BB88">
        <f t="shared" si="142"/>
        <v>8.2944243009164212E-2</v>
      </c>
      <c r="BC88" s="41" t="str">
        <f t="shared" si="143"/>
        <v>-1,32209162651915+15,9708857777792i</v>
      </c>
      <c r="BD88">
        <f t="shared" si="144"/>
        <v>24.096239693608087</v>
      </c>
      <c r="BE88" s="43">
        <f t="shared" si="145"/>
        <v>94.732232559086441</v>
      </c>
      <c r="BF88" s="41" t="str">
        <f t="shared" si="146"/>
        <v>391,840279763071+379,704007330986i</v>
      </c>
      <c r="BG88" s="20">
        <f t="shared" si="147"/>
        <v>54.737991674211806</v>
      </c>
      <c r="BH88" s="43">
        <f t="shared" si="148"/>
        <v>44.098820561264134</v>
      </c>
      <c r="BI88" s="41" t="str">
        <f t="shared" si="101"/>
        <v>1228,73617255152+1204,3855516079i</v>
      </c>
      <c r="BJ88" s="20">
        <f t="shared" si="149"/>
        <v>64.713411735999117</v>
      </c>
      <c r="BK88" s="43">
        <f t="shared" si="102"/>
        <v>44.426604424648048</v>
      </c>
      <c r="BL88">
        <f t="shared" si="150"/>
        <v>54.737991674211806</v>
      </c>
      <c r="BM88" s="43">
        <f t="shared" si="151"/>
        <v>44.098820561264134</v>
      </c>
    </row>
    <row r="89" spans="14:65" x14ac:dyDescent="0.25">
      <c r="N89" s="9">
        <v>71</v>
      </c>
      <c r="O89" s="34">
        <f t="shared" si="116"/>
        <v>51.28613839913649</v>
      </c>
      <c r="P89" s="33" t="str">
        <f t="shared" si="103"/>
        <v>54,631621870174</v>
      </c>
      <c r="Q89" s="4" t="str">
        <f t="shared" si="104"/>
        <v>1+1,28432908596195i</v>
      </c>
      <c r="R89" s="4">
        <f t="shared" si="117"/>
        <v>1.6277288475197145</v>
      </c>
      <c r="S89" s="4">
        <f t="shared" si="118"/>
        <v>0.90923069351423069</v>
      </c>
      <c r="T89" s="4" t="str">
        <f t="shared" si="105"/>
        <v>1+0,0161120155625716i</v>
      </c>
      <c r="U89" s="4">
        <f t="shared" si="119"/>
        <v>1.0001297901000092</v>
      </c>
      <c r="V89" s="4">
        <f t="shared" si="120"/>
        <v>1.6110621569145469E-2</v>
      </c>
      <c r="W89" t="str">
        <f t="shared" si="106"/>
        <v>1-0,00128230338733525i</v>
      </c>
      <c r="X89" s="4">
        <f t="shared" si="121"/>
        <v>1.0000008221506507</v>
      </c>
      <c r="Y89" s="4">
        <f t="shared" si="122"/>
        <v>-1.2823026845046118E-3</v>
      </c>
      <c r="Z89" t="str">
        <f t="shared" si="107"/>
        <v>0,999999989478928+0,00017617811409541i</v>
      </c>
      <c r="AA89" s="4">
        <f t="shared" si="123"/>
        <v>1.0000000049982918</v>
      </c>
      <c r="AB89" s="4">
        <f t="shared" si="124"/>
        <v>1.7617811412621109E-4</v>
      </c>
      <c r="AC89" s="47" t="str">
        <f t="shared" si="125"/>
        <v>21,0081266768029-26,1808020160829i</v>
      </c>
      <c r="AD89" s="20">
        <f t="shared" si="126"/>
        <v>30.518375035314232</v>
      </c>
      <c r="AE89" s="43">
        <f t="shared" si="127"/>
        <v>-51.255575515136293</v>
      </c>
      <c r="AF89" t="str">
        <f t="shared" si="108"/>
        <v>171,265703090588</v>
      </c>
      <c r="AG89" t="str">
        <f t="shared" si="109"/>
        <v>1+1,27203803421518i</v>
      </c>
      <c r="AH89">
        <f t="shared" si="128"/>
        <v>1.6180484419478978</v>
      </c>
      <c r="AI89">
        <f t="shared" si="129"/>
        <v>0.90456391657060597</v>
      </c>
      <c r="AJ89" t="str">
        <f t="shared" si="110"/>
        <v>1+0,0161120155625716i</v>
      </c>
      <c r="AK89">
        <f t="shared" si="130"/>
        <v>1.0001297901000092</v>
      </c>
      <c r="AL89">
        <f t="shared" si="131"/>
        <v>1.6110621569145469E-2</v>
      </c>
      <c r="AM89" t="str">
        <f t="shared" si="111"/>
        <v>1-0,000405123937570157i</v>
      </c>
      <c r="AN89">
        <f t="shared" si="132"/>
        <v>1.0000000820626991</v>
      </c>
      <c r="AO89">
        <f t="shared" si="133"/>
        <v>-4.0512391540644912E-4</v>
      </c>
      <c r="AP89" s="41" t="str">
        <f t="shared" si="134"/>
        <v>66,7239421684908-82,1853403935708i</v>
      </c>
      <c r="AQ89">
        <f t="shared" si="135"/>
        <v>40.494705625918996</v>
      </c>
      <c r="AR89" s="43">
        <f t="shared" si="136"/>
        <v>-50.927835988607754</v>
      </c>
      <c r="AS89" t="str">
        <f t="shared" si="112"/>
        <v>-0,0000166666666666667</v>
      </c>
      <c r="AT89" t="str">
        <f t="shared" si="113"/>
        <v>1,06790439148725E-06i</v>
      </c>
      <c r="AU89">
        <f t="shared" si="137"/>
        <v>1.0679043914872499E-6</v>
      </c>
      <c r="AV89">
        <f t="shared" si="138"/>
        <v>1.5707963267948966</v>
      </c>
      <c r="AW89" t="str">
        <f t="shared" si="114"/>
        <v>1+0,000359384487141007i</v>
      </c>
      <c r="AX89">
        <f t="shared" si="139"/>
        <v>1.0000000645786027</v>
      </c>
      <c r="AY89">
        <f t="shared" si="140"/>
        <v>3.5938447166864232E-4</v>
      </c>
      <c r="AZ89" t="str">
        <f t="shared" si="115"/>
        <v>1+0,0850714421703783i</v>
      </c>
      <c r="BA89">
        <f t="shared" si="141"/>
        <v>1.0036120516778124</v>
      </c>
      <c r="BB89">
        <f t="shared" si="142"/>
        <v>8.4867103798721838E-2</v>
      </c>
      <c r="BC89" s="41" t="str">
        <f t="shared" si="143"/>
        <v>-1,3220916188338+15,6073654184646i</v>
      </c>
      <c r="BD89">
        <f t="shared" si="144"/>
        <v>23.897644338849943</v>
      </c>
      <c r="BE89" s="43">
        <f t="shared" si="145"/>
        <v>94.841935653716291</v>
      </c>
      <c r="BF89" s="41" t="str">
        <f t="shared" si="146"/>
        <v>380,838675806681+362,494928722067i</v>
      </c>
      <c r="BG89" s="20">
        <f t="shared" si="147"/>
        <v>54.416019374164165</v>
      </c>
      <c r="BH89" s="43">
        <f t="shared" si="148"/>
        <v>43.586360138579948</v>
      </c>
      <c r="BI89" s="41" t="str">
        <f t="shared" si="101"/>
        <v>1194,48147484685+1150,04149730948i</v>
      </c>
      <c r="BJ89" s="20">
        <f t="shared" si="149"/>
        <v>64.392349964768968</v>
      </c>
      <c r="BK89" s="43">
        <f t="shared" si="102"/>
        <v>43.914099665108495</v>
      </c>
      <c r="BL89">
        <f t="shared" si="150"/>
        <v>54.416019374164165</v>
      </c>
      <c r="BM89" s="43">
        <f t="shared" si="151"/>
        <v>43.586360138579948</v>
      </c>
    </row>
    <row r="90" spans="14:65" x14ac:dyDescent="0.25">
      <c r="N90" s="9">
        <v>72</v>
      </c>
      <c r="O90" s="34">
        <f t="shared" si="116"/>
        <v>52.480746024977286</v>
      </c>
      <c r="P90" s="33" t="str">
        <f t="shared" si="103"/>
        <v>54,631621870174</v>
      </c>
      <c r="Q90" s="4" t="str">
        <f t="shared" si="104"/>
        <v>1+1,31424495344721i</v>
      </c>
      <c r="R90" s="4">
        <f t="shared" si="117"/>
        <v>1.6514356777245243</v>
      </c>
      <c r="S90" s="4">
        <f t="shared" si="118"/>
        <v>0.92035996772369633</v>
      </c>
      <c r="T90" s="4" t="str">
        <f t="shared" si="105"/>
        <v>1+0,0164873126166981i</v>
      </c>
      <c r="U90" s="4">
        <f t="shared" si="119"/>
        <v>1.0001359065033715</v>
      </c>
      <c r="V90" s="4">
        <f t="shared" si="120"/>
        <v>1.6485818936792847E-2</v>
      </c>
      <c r="W90" t="str">
        <f t="shared" si="106"/>
        <v>1-0,00131217207023803i</v>
      </c>
      <c r="X90" s="4">
        <f t="shared" si="121"/>
        <v>1.0000008608974005</v>
      </c>
      <c r="Y90" s="4">
        <f t="shared" si="122"/>
        <v>-1.3121713171414676E-3</v>
      </c>
      <c r="Z90" t="str">
        <f t="shared" si="107"/>
        <v>0,999999988983085+0,000180281829547072i</v>
      </c>
      <c r="AA90" s="4">
        <f t="shared" si="123"/>
        <v>1.000000005233854</v>
      </c>
      <c r="AB90" s="4">
        <f t="shared" si="124"/>
        <v>1.8028182958007604E-4</v>
      </c>
      <c r="AC90" s="47" t="str">
        <f t="shared" si="125"/>
        <v>20,4270899363333-26,0270066418049i</v>
      </c>
      <c r="AD90" s="20">
        <f t="shared" si="126"/>
        <v>30.392836438620524</v>
      </c>
      <c r="AE90" s="43">
        <f t="shared" si="127"/>
        <v>-51.873685202897562</v>
      </c>
      <c r="AF90" t="str">
        <f t="shared" si="108"/>
        <v>171,265703090588</v>
      </c>
      <c r="AG90" t="str">
        <f t="shared" si="109"/>
        <v>1+1,30166760632698i</v>
      </c>
      <c r="AH90">
        <f t="shared" si="128"/>
        <v>1.6414440463692359</v>
      </c>
      <c r="AI90">
        <f t="shared" si="129"/>
        <v>0.91572012927509483</v>
      </c>
      <c r="AJ90" t="str">
        <f t="shared" si="110"/>
        <v>1+0,0164873126166981i</v>
      </c>
      <c r="AK90">
        <f t="shared" si="130"/>
        <v>1.0001359065033715</v>
      </c>
      <c r="AL90">
        <f t="shared" si="131"/>
        <v>1.6485818936792847E-2</v>
      </c>
      <c r="AM90" t="str">
        <f t="shared" si="111"/>
        <v>1-0,000414560486320728i</v>
      </c>
      <c r="AN90">
        <f t="shared" si="132"/>
        <v>1.0000000859301947</v>
      </c>
      <c r="AO90">
        <f t="shared" si="133"/>
        <v>-4.1456046257188722E-4</v>
      </c>
      <c r="AP90" s="41" t="str">
        <f t="shared" si="134"/>
        <v>64,895329580261-81,7194371223289i</v>
      </c>
      <c r="AQ90">
        <f t="shared" si="135"/>
        <v>40.370067509517</v>
      </c>
      <c r="AR90" s="43">
        <f t="shared" si="136"/>
        <v>-51.546083340600326</v>
      </c>
      <c r="AS90" t="str">
        <f t="shared" si="112"/>
        <v>-0,0000166666666666667</v>
      </c>
      <c r="AT90" t="str">
        <f t="shared" si="113"/>
        <v>1,09277908023475E-06i</v>
      </c>
      <c r="AU90">
        <f t="shared" si="137"/>
        <v>1.09277908023475E-6</v>
      </c>
      <c r="AV90">
        <f t="shared" si="138"/>
        <v>1.5707963267948966</v>
      </c>
      <c r="AW90" t="str">
        <f t="shared" si="114"/>
        <v>1+0,000367755627225806i</v>
      </c>
      <c r="AX90">
        <f t="shared" si="139"/>
        <v>1.0000000676220984</v>
      </c>
      <c r="AY90">
        <f t="shared" si="140"/>
        <v>3.6775561064686867E-4</v>
      </c>
      <c r="AZ90" t="str">
        <f t="shared" si="115"/>
        <v>1+0,0870530106161657i</v>
      </c>
      <c r="BA90">
        <f t="shared" si="141"/>
        <v>1.0037819617114756</v>
      </c>
      <c r="BB90">
        <f t="shared" si="142"/>
        <v>8.683410263611345E-2</v>
      </c>
      <c r="BC90" s="41" t="str">
        <f t="shared" si="143"/>
        <v>-1,32209161078623+15,2521202908823i</v>
      </c>
      <c r="BD90">
        <f t="shared" si="144"/>
        <v>23.699114696200038</v>
      </c>
      <c r="BE90" s="43">
        <f t="shared" si="145"/>
        <v>94.954156754472791</v>
      </c>
      <c r="BF90" s="41" t="str">
        <f t="shared" si="146"/>
        <v>369,960551874799+345,966520036635i</v>
      </c>
      <c r="BG90" s="20">
        <f t="shared" si="147"/>
        <v>54.091951134820569</v>
      </c>
      <c r="BH90" s="43">
        <f t="shared" si="148"/>
        <v>43.080471551575265</v>
      </c>
      <c r="BI90" s="41" t="str">
        <f t="shared" si="101"/>
        <v>1160,59711427568+1097,8319553322i</v>
      </c>
      <c r="BJ90" s="20">
        <f t="shared" si="149"/>
        <v>64.069182205717041</v>
      </c>
      <c r="BK90" s="43">
        <f t="shared" si="102"/>
        <v>43.4080734138726</v>
      </c>
      <c r="BL90">
        <f t="shared" si="150"/>
        <v>54.091951134820569</v>
      </c>
      <c r="BM90" s="43">
        <f t="shared" si="151"/>
        <v>43.080471551575265</v>
      </c>
    </row>
    <row r="91" spans="14:65" x14ac:dyDescent="0.25">
      <c r="N91" s="9">
        <v>73</v>
      </c>
      <c r="O91" s="34">
        <f t="shared" si="116"/>
        <v>53.703179637025293</v>
      </c>
      <c r="P91" s="33" t="str">
        <f t="shared" si="103"/>
        <v>54,631621870174</v>
      </c>
      <c r="Q91" s="4" t="str">
        <f t="shared" si="104"/>
        <v>1+1,34485765100287i</v>
      </c>
      <c r="R91" s="4">
        <f t="shared" si="117"/>
        <v>1.6759003853036603</v>
      </c>
      <c r="S91" s="4">
        <f t="shared" si="118"/>
        <v>0.9314211256512398</v>
      </c>
      <c r="T91" s="4" t="str">
        <f t="shared" si="105"/>
        <v>1+0,0168713514622092i</v>
      </c>
      <c r="U91" s="4">
        <f t="shared" si="119"/>
        <v>1.0001423111238528</v>
      </c>
      <c r="V91" s="4">
        <f t="shared" si="120"/>
        <v>1.6869750967654473E-2</v>
      </c>
      <c r="W91" t="str">
        <f t="shared" si="106"/>
        <v>1-0,00134273648414111i</v>
      </c>
      <c r="X91" s="4">
        <f t="shared" si="121"/>
        <v>1.0000009014702267</v>
      </c>
      <c r="Y91" s="4">
        <f t="shared" si="122"/>
        <v>-1.3427356771836441E-3</v>
      </c>
      <c r="Z91" t="str">
        <f t="shared" si="107"/>
        <v>0,999999988463874+0,000184481132811072i</v>
      </c>
      <c r="AA91" s="4">
        <f t="shared" si="123"/>
        <v>1.000000005480518</v>
      </c>
      <c r="AB91" s="4">
        <f t="shared" si="124"/>
        <v>1.8448113284643639E-4</v>
      </c>
      <c r="AC91" s="47" t="str">
        <f t="shared" si="125"/>
        <v>19,853143565262-25,8613773493328i</v>
      </c>
      <c r="AD91" s="20">
        <f t="shared" si="126"/>
        <v>30.265161652519879</v>
      </c>
      <c r="AE91" s="43">
        <f t="shared" si="127"/>
        <v>-52.487436994873157</v>
      </c>
      <c r="AF91" t="str">
        <f t="shared" si="108"/>
        <v>171,265703090588</v>
      </c>
      <c r="AG91" t="str">
        <f t="shared" si="109"/>
        <v>1+1,33198733983326i</v>
      </c>
      <c r="AH91">
        <f t="shared" si="128"/>
        <v>1.6655900676565301</v>
      </c>
      <c r="AI91">
        <f t="shared" si="129"/>
        <v>0.92681034711568977</v>
      </c>
      <c r="AJ91" t="str">
        <f t="shared" si="110"/>
        <v>1+0,0168713514622092i</v>
      </c>
      <c r="AK91">
        <f t="shared" si="130"/>
        <v>1.0001423111238528</v>
      </c>
      <c r="AL91">
        <f t="shared" si="131"/>
        <v>1.6869750967654473E-2</v>
      </c>
      <c r="AM91" t="str">
        <f t="shared" si="111"/>
        <v>1-0,000424216840528502i</v>
      </c>
      <c r="AN91">
        <f t="shared" si="132"/>
        <v>1.0000000899799599</v>
      </c>
      <c r="AO91">
        <f t="shared" si="133"/>
        <v>-4.2421681508116076E-4</v>
      </c>
      <c r="AP91" s="41" t="str">
        <f t="shared" si="134"/>
        <v>63,0882865280582-81,2159688723391i</v>
      </c>
      <c r="AQ91">
        <f t="shared" si="135"/>
        <v>40.243282380791968</v>
      </c>
      <c r="AR91" s="43">
        <f t="shared" si="136"/>
        <v>-52.160061600003175</v>
      </c>
      <c r="AS91" t="str">
        <f t="shared" si="112"/>
        <v>-0,0000166666666666667</v>
      </c>
      <c r="AT91" t="str">
        <f t="shared" si="113"/>
        <v>1,11823317491522E-06i</v>
      </c>
      <c r="AU91">
        <f t="shared" si="137"/>
        <v>1.1182331749152199E-6</v>
      </c>
      <c r="AV91">
        <f t="shared" si="138"/>
        <v>1.5707963267948966</v>
      </c>
      <c r="AW91" t="str">
        <f t="shared" si="114"/>
        <v>1+0,000376321756211979i</v>
      </c>
      <c r="AX91">
        <f t="shared" si="139"/>
        <v>1.0000000708090295</v>
      </c>
      <c r="AY91">
        <f t="shared" si="140"/>
        <v>3.7632173844732764E-4</v>
      </c>
      <c r="AZ91" t="str">
        <f t="shared" si="115"/>
        <v>1+0,0890807357204643i</v>
      </c>
      <c r="BA91">
        <f t="shared" si="141"/>
        <v>1.0039598485380274</v>
      </c>
      <c r="BB91">
        <f t="shared" si="142"/>
        <v>8.8846221532482811E-2</v>
      </c>
      <c r="BC91" s="41" t="str">
        <f t="shared" si="143"/>
        <v>-1,32209160235941+14,9049620393639i</v>
      </c>
      <c r="BD91">
        <f t="shared" si="144"/>
        <v>23.50065381597258</v>
      </c>
      <c r="BE91" s="43">
        <f t="shared" si="145"/>
        <v>95.068951872143529</v>
      </c>
      <c r="BF91" s="41" t="str">
        <f t="shared" si="146"/>
        <v>359,215173289402+330,101461021273i</v>
      </c>
      <c r="BG91" s="20">
        <f t="shared" si="147"/>
        <v>53.765815468492463</v>
      </c>
      <c r="BH91" s="43">
        <f t="shared" si="148"/>
        <v>42.581514877270415</v>
      </c>
      <c r="BI91" s="41" t="str">
        <f t="shared" si="101"/>
        <v>1127,11243920638+1047,70346625282i</v>
      </c>
      <c r="BJ91" s="20">
        <f t="shared" si="149"/>
        <v>63.743936196764523</v>
      </c>
      <c r="BK91" s="43">
        <f t="shared" si="102"/>
        <v>42.908890272140383</v>
      </c>
      <c r="BL91">
        <f t="shared" si="150"/>
        <v>53.765815468492463</v>
      </c>
      <c r="BM91" s="43">
        <f t="shared" si="151"/>
        <v>42.581514877270415</v>
      </c>
    </row>
    <row r="92" spans="14:65" x14ac:dyDescent="0.25">
      <c r="N92" s="9">
        <v>74</v>
      </c>
      <c r="O92" s="34">
        <f t="shared" si="116"/>
        <v>54.95408738576247</v>
      </c>
      <c r="P92" s="33" t="str">
        <f t="shared" si="103"/>
        <v>54,631621870174</v>
      </c>
      <c r="Q92" s="4" t="str">
        <f t="shared" si="104"/>
        <v>1+1,3761834098864i</v>
      </c>
      <c r="R92" s="4">
        <f t="shared" si="117"/>
        <v>1.7011410222690417</v>
      </c>
      <c r="S92" s="4">
        <f t="shared" si="118"/>
        <v>0.94240920588205235</v>
      </c>
      <c r="T92" s="4" t="str">
        <f t="shared" si="105"/>
        <v>1+0,0172643357215843i</v>
      </c>
      <c r="U92" s="4">
        <f t="shared" si="119"/>
        <v>1.0001490175408401</v>
      </c>
      <c r="V92" s="4">
        <f t="shared" si="120"/>
        <v>1.7262620774571094E-2</v>
      </c>
      <c r="W92" t="str">
        <f t="shared" si="106"/>
        <v>1-0,00137401283470129i</v>
      </c>
      <c r="X92" s="4">
        <f t="shared" si="121"/>
        <v>1.0000009439551896</v>
      </c>
      <c r="Y92" s="4">
        <f t="shared" si="122"/>
        <v>-1.3740119700308309E-3</v>
      </c>
      <c r="Z92" t="str">
        <f t="shared" si="107"/>
        <v>0,999999987920193+0,000188778250413585i</v>
      </c>
      <c r="AA92" s="4">
        <f t="shared" si="123"/>
        <v>1.000000005738807</v>
      </c>
      <c r="AB92" s="4">
        <f t="shared" si="124"/>
        <v>1.8877825045147866E-4</v>
      </c>
      <c r="AC92" s="47" t="str">
        <f t="shared" si="125"/>
        <v>19,2867556148651-25,6843125233307i</v>
      </c>
      <c r="AD92" s="20">
        <f t="shared" si="126"/>
        <v>30.135377927726118</v>
      </c>
      <c r="AE92" s="43">
        <f t="shared" si="127"/>
        <v>-53.096536041497117</v>
      </c>
      <c r="AF92" t="str">
        <f t="shared" si="108"/>
        <v>171,265703090588</v>
      </c>
      <c r="AG92" t="str">
        <f t="shared" si="109"/>
        <v>1+1,36301331065806i</v>
      </c>
      <c r="AH92">
        <f t="shared" si="128"/>
        <v>1.6905044469125319</v>
      </c>
      <c r="AI92">
        <f t="shared" si="129"/>
        <v>0.93782953856847096</v>
      </c>
      <c r="AJ92" t="str">
        <f t="shared" si="110"/>
        <v>1+0,0172643357215843i</v>
      </c>
      <c r="AK92">
        <f t="shared" si="130"/>
        <v>1.0001490175408401</v>
      </c>
      <c r="AL92">
        <f t="shared" si="131"/>
        <v>1.7262620774571094E-2</v>
      </c>
      <c r="AM92" t="str">
        <f t="shared" si="111"/>
        <v>1-0,000434098120120299i</v>
      </c>
      <c r="AN92">
        <f t="shared" si="132"/>
        <v>1.0000000942205847</v>
      </c>
      <c r="AO92">
        <f t="shared" si="133"/>
        <v>-4.3409809285298176E-4</v>
      </c>
      <c r="AP92" s="41" t="str">
        <f t="shared" si="134"/>
        <v>61,3043145404656-80,6761542434267i</v>
      </c>
      <c r="AQ92">
        <f t="shared" si="135"/>
        <v>40.11437675711435</v>
      </c>
      <c r="AR92" s="43">
        <f t="shared" si="136"/>
        <v>-52.769471137572232</v>
      </c>
      <c r="AS92" t="str">
        <f t="shared" si="112"/>
        <v>-0,0000166666666666667</v>
      </c>
      <c r="AT92" t="str">
        <f t="shared" si="113"/>
        <v>1,14428017162661E-06i</v>
      </c>
      <c r="AU92">
        <f t="shared" si="137"/>
        <v>1.1442801716266099E-6</v>
      </c>
      <c r="AV92">
        <f t="shared" si="138"/>
        <v>1.5707963267948966</v>
      </c>
      <c r="AW92" t="str">
        <f t="shared" si="114"/>
        <v>1+0,000385087415974505i</v>
      </c>
      <c r="AX92">
        <f t="shared" si="139"/>
        <v>1.0000000741461563</v>
      </c>
      <c r="AY92">
        <f t="shared" si="140"/>
        <v>3.8508739693933816E-4</v>
      </c>
      <c r="AZ92" t="str">
        <f t="shared" si="115"/>
        <v>1+0,0911556926099651i</v>
      </c>
      <c r="BA92">
        <f t="shared" si="141"/>
        <v>1.0041460851366211</v>
      </c>
      <c r="BB92">
        <f t="shared" si="142"/>
        <v>9.0904462133304817E-2</v>
      </c>
      <c r="BC92" s="41" t="str">
        <f t="shared" si="143"/>
        <v>-1,32209159353543+14,5657065960087i</v>
      </c>
      <c r="BD92">
        <f t="shared" si="144"/>
        <v>23.302264887795058</v>
      </c>
      <c r="BE92" s="43">
        <f t="shared" si="145"/>
        <v>95.18637813655684</v>
      </c>
      <c r="BF92" s="41" t="str">
        <f t="shared" si="146"/>
        <v>348,611302870041+314,882237147881i</v>
      </c>
      <c r="BG92" s="20">
        <f t="shared" si="147"/>
        <v>53.43764281552118</v>
      </c>
      <c r="BH92" s="43">
        <f t="shared" si="148"/>
        <v>42.089842095059801</v>
      </c>
      <c r="BI92" s="41" t="str">
        <f t="shared" si="101"/>
        <v>1094,05527310269+999,601923989854i</v>
      </c>
      <c r="BJ92" s="20">
        <f t="shared" si="149"/>
        <v>63.416641644909397</v>
      </c>
      <c r="BK92" s="43">
        <f t="shared" si="102"/>
        <v>42.416906998984736</v>
      </c>
      <c r="BL92">
        <f t="shared" si="150"/>
        <v>53.43764281552118</v>
      </c>
      <c r="BM92" s="43">
        <f t="shared" si="151"/>
        <v>42.089842095059801</v>
      </c>
    </row>
    <row r="93" spans="14:65" x14ac:dyDescent="0.25">
      <c r="N93" s="9">
        <v>75</v>
      </c>
      <c r="O93" s="34">
        <f t="shared" si="116"/>
        <v>56.234132519034915</v>
      </c>
      <c r="P93" s="33" t="str">
        <f t="shared" si="103"/>
        <v>54,631621870174</v>
      </c>
      <c r="Q93" s="4" t="str">
        <f t="shared" si="104"/>
        <v>1+1,40823883942978i</v>
      </c>
      <c r="R93" s="4">
        <f t="shared" si="117"/>
        <v>1.7271759113878742</v>
      </c>
      <c r="S93" s="4">
        <f t="shared" si="118"/>
        <v>0.95331942133051528</v>
      </c>
      <c r="T93" s="4" t="str">
        <f t="shared" si="105"/>
        <v>1+0,0176664737602795i</v>
      </c>
      <c r="U93" s="4">
        <f t="shared" si="119"/>
        <v>1.0001560399733247</v>
      </c>
      <c r="V93" s="4">
        <f t="shared" si="120"/>
        <v>1.7664636176931071E-2</v>
      </c>
      <c r="W93" t="str">
        <f t="shared" si="106"/>
        <v>1-0,00140601770505365i</v>
      </c>
      <c r="X93" s="4">
        <f t="shared" si="121"/>
        <v>1.0000009884424048</v>
      </c>
      <c r="Y93" s="4">
        <f t="shared" si="122"/>
        <v>-1.4060167785426099E-3</v>
      </c>
      <c r="Z93" t="str">
        <f t="shared" si="107"/>
        <v>0,999999987350889+0,000193175460743243i</v>
      </c>
      <c r="AA93" s="4">
        <f t="shared" si="123"/>
        <v>1.0000000060092684</v>
      </c>
      <c r="AB93" s="4">
        <f t="shared" si="124"/>
        <v>1.9317546078384684E-4</v>
      </c>
      <c r="AC93" s="47" t="str">
        <f t="shared" si="125"/>
        <v>18,7283660897131-25,4962312126021i</v>
      </c>
      <c r="AD93" s="20">
        <f t="shared" si="126"/>
        <v>30.003514202228008</v>
      </c>
      <c r="AE93" s="43">
        <f t="shared" si="127"/>
        <v>-53.700697236463526</v>
      </c>
      <c r="AF93" t="str">
        <f t="shared" si="108"/>
        <v>171,265703090588</v>
      </c>
      <c r="AG93" t="str">
        <f t="shared" si="109"/>
        <v>1+1,39476196918179i</v>
      </c>
      <c r="AH93">
        <f t="shared" si="128"/>
        <v>1.7162053929165542</v>
      </c>
      <c r="AI93">
        <f t="shared" si="129"/>
        <v>0.94877284267590434</v>
      </c>
      <c r="AJ93" t="str">
        <f t="shared" si="110"/>
        <v>1+0,0176664737602795i</v>
      </c>
      <c r="AK93">
        <f t="shared" si="130"/>
        <v>1.0001560399733247</v>
      </c>
      <c r="AL93">
        <f t="shared" si="131"/>
        <v>1.7664636176931071E-2</v>
      </c>
      <c r="AM93" t="str">
        <f t="shared" si="111"/>
        <v>1-0,00044420956428135i</v>
      </c>
      <c r="AN93">
        <f t="shared" si="132"/>
        <v>1.0000000986610638</v>
      </c>
      <c r="AO93">
        <f t="shared" si="133"/>
        <v>-4.442095350638933E-4</v>
      </c>
      <c r="AP93" s="41" t="str">
        <f t="shared" si="134"/>
        <v>59,5448288031269-80,1012794897023i</v>
      </c>
      <c r="AQ93">
        <f t="shared" si="135"/>
        <v>39.983378886107729</v>
      </c>
      <c r="AR93" s="43">
        <f t="shared" si="136"/>
        <v>-53.374021833965315</v>
      </c>
      <c r="AS93" t="str">
        <f t="shared" si="112"/>
        <v>-0,0000166666666666667</v>
      </c>
      <c r="AT93" t="str">
        <f t="shared" si="113"/>
        <v>1,17093388083133E-06i</v>
      </c>
      <c r="AU93">
        <f t="shared" si="137"/>
        <v>1.17093388083133E-6</v>
      </c>
      <c r="AV93">
        <f t="shared" si="138"/>
        <v>1.5707963267948966</v>
      </c>
      <c r="AW93" t="str">
        <f t="shared" si="114"/>
        <v>1+0,000394057254182215i</v>
      </c>
      <c r="AX93">
        <f t="shared" si="139"/>
        <v>1.0000000776405567</v>
      </c>
      <c r="AY93">
        <f t="shared" si="140"/>
        <v>3.9405723378566635E-4</v>
      </c>
      <c r="AZ93" t="str">
        <f t="shared" si="115"/>
        <v>1+0,0932789814542757i</v>
      </c>
      <c r="BA93">
        <f t="shared" si="141"/>
        <v>1.0043410617818767</v>
      </c>
      <c r="BB93">
        <f t="shared" si="142"/>
        <v>9.3009845950901199E-2</v>
      </c>
      <c r="BC93" s="41" t="str">
        <f t="shared" si="143"/>
        <v>-1,32209158429559+14,2341740830904i</v>
      </c>
      <c r="BD93">
        <f t="shared" si="144"/>
        <v>23.103951246754171</v>
      </c>
      <c r="BE93" s="43">
        <f t="shared" si="145"/>
        <v>95.306493809766025</v>
      </c>
      <c r="BF93" s="41" t="str">
        <f t="shared" si="146"/>
        <v>338,157178348085+300,291175930259i</v>
      </c>
      <c r="BG93" s="20">
        <f t="shared" si="147"/>
        <v>53.107465448982182</v>
      </c>
      <c r="BH93" s="43">
        <f t="shared" si="148"/>
        <v>41.605796573302477</v>
      </c>
      <c r="BI93" s="41" t="str">
        <f t="shared" si="101"/>
        <v>1061,45183948577+953,472686436168i</v>
      </c>
      <c r="BJ93" s="20">
        <f t="shared" si="149"/>
        <v>63.087330132861922</v>
      </c>
      <c r="BK93" s="43">
        <f t="shared" si="102"/>
        <v>41.932471975800603</v>
      </c>
      <c r="BL93">
        <f t="shared" si="150"/>
        <v>53.107465448982182</v>
      </c>
      <c r="BM93" s="43">
        <f t="shared" si="151"/>
        <v>41.605796573302477</v>
      </c>
    </row>
    <row r="94" spans="14:65" x14ac:dyDescent="0.25">
      <c r="N94" s="9">
        <v>76</v>
      </c>
      <c r="O94" s="34">
        <f t="shared" si="116"/>
        <v>57.543993733715695</v>
      </c>
      <c r="P94" s="33" t="str">
        <f t="shared" si="103"/>
        <v>54,631621870174</v>
      </c>
      <c r="Q94" s="4" t="str">
        <f t="shared" si="104"/>
        <v>1+1,44104093584608i</v>
      </c>
      <c r="R94" s="4">
        <f t="shared" si="117"/>
        <v>1.7540236539979004</v>
      </c>
      <c r="S94" s="4">
        <f t="shared" si="118"/>
        <v>0.96414716756542396</v>
      </c>
      <c r="T94" s="4" t="str">
        <f t="shared" si="105"/>
        <v>1+0,0180779787972059i</v>
      </c>
      <c r="U94" s="4">
        <f t="shared" si="119"/>
        <v>1.0001633933100091</v>
      </c>
      <c r="V94" s="4">
        <f t="shared" si="120"/>
        <v>1.8076009808545689E-2</v>
      </c>
      <c r="W94" t="str">
        <f t="shared" si="106"/>
        <v>1-0,00143876806460407i</v>
      </c>
      <c r="X94" s="4">
        <f t="shared" si="121"/>
        <v>1.0000010350262363</v>
      </c>
      <c r="Y94" s="4">
        <f t="shared" si="122"/>
        <v>-1.4387670718296595E-3</v>
      </c>
      <c r="Z94" t="str">
        <f t="shared" si="107"/>
        <v>0,999999986754755+0,000197675095259167i</v>
      </c>
      <c r="AA94" s="4">
        <f t="shared" si="123"/>
        <v>1.0000000062924765</v>
      </c>
      <c r="AB94" s="4">
        <f t="shared" si="124"/>
        <v>1.9767509530267476E-4</v>
      </c>
      <c r="AC94" s="47" t="str">
        <f t="shared" si="125"/>
        <v>18,1783859503983-25,2975708484637i</v>
      </c>
      <c r="AD94" s="20">
        <f t="shared" si="126"/>
        <v>29.869600995777908</v>
      </c>
      <c r="AE94" s="43">
        <f t="shared" si="127"/>
        <v>-54.299645688118616</v>
      </c>
      <c r="AF94" t="str">
        <f t="shared" si="108"/>
        <v>171,265703090588</v>
      </c>
      <c r="AG94" t="str">
        <f t="shared" si="109"/>
        <v>1+1,42725014896343i</v>
      </c>
      <c r="AH94">
        <f t="shared" si="128"/>
        <v>1.7427113896787767</v>
      </c>
      <c r="AI94">
        <f t="shared" si="129"/>
        <v>0.95963557777644748</v>
      </c>
      <c r="AJ94" t="str">
        <f t="shared" si="110"/>
        <v>1+0,0180779787972059i</v>
      </c>
      <c r="AK94">
        <f t="shared" si="130"/>
        <v>1.0001633933100091</v>
      </c>
      <c r="AL94">
        <f t="shared" si="131"/>
        <v>1.8076009808545689E-2</v>
      </c>
      <c r="AM94" t="str">
        <f t="shared" si="111"/>
        <v>1-0,000454556534233193i</v>
      </c>
      <c r="AN94">
        <f t="shared" si="132"/>
        <v>1.0000001033108161</v>
      </c>
      <c r="AO94">
        <f t="shared" si="133"/>
        <v>-4.5455650292612425E-4</v>
      </c>
      <c r="AP94" s="41" t="str">
        <f t="shared" si="134"/>
        <v>57,8111547611586-79,4926914398812i</v>
      </c>
      <c r="AQ94">
        <f t="shared" si="135"/>
        <v>39.850318641746334</v>
      </c>
      <c r="AR94" s="43">
        <f t="shared" si="136"/>
        <v>-53.973433573889857</v>
      </c>
      <c r="AS94" t="str">
        <f t="shared" si="112"/>
        <v>-0,0000166666666666667</v>
      </c>
      <c r="AT94" t="str">
        <f t="shared" si="113"/>
        <v>0,0000011982084346788i</v>
      </c>
      <c r="AU94">
        <f t="shared" si="137"/>
        <v>1.1982084346788E-6</v>
      </c>
      <c r="AV94">
        <f t="shared" si="138"/>
        <v>1.5707963267948966</v>
      </c>
      <c r="AW94" t="str">
        <f t="shared" si="114"/>
        <v>1+0,000403236026762057i</v>
      </c>
      <c r="AX94">
        <f t="shared" si="139"/>
        <v>1.0000000812996435</v>
      </c>
      <c r="AY94">
        <f t="shared" si="140"/>
        <v>4.0323600490676148E-4</v>
      </c>
      <c r="AZ94" t="str">
        <f t="shared" si="115"/>
        <v>1+0,0954517280492468i</v>
      </c>
      <c r="BA94">
        <f t="shared" si="141"/>
        <v>1.0045451868321242</v>
      </c>
      <c r="BB94">
        <f t="shared" si="142"/>
        <v>9.5163414587119355E-2</v>
      </c>
      <c r="BC94" s="41" t="str">
        <f t="shared" si="143"/>
        <v>-1,32209157462031+13,9101887176822i</v>
      </c>
      <c r="BD94">
        <f t="shared" si="144"/>
        <v>22.905716379789975</v>
      </c>
      <c r="BE94" s="43">
        <f t="shared" si="145"/>
        <v>95.42935829866677</v>
      </c>
      <c r="BF94" s="41" t="str">
        <f t="shared" si="146"/>
        <v>327,860493695848+286,310484430017i</v>
      </c>
      <c r="BG94" s="20">
        <f t="shared" si="147"/>
        <v>52.775317375567887</v>
      </c>
      <c r="BH94" s="43">
        <f t="shared" si="148"/>
        <v>41.12971261054814</v>
      </c>
      <c r="BI94" s="41" t="str">
        <f t="shared" si="101"/>
        <v>1029,32669897643+909,260690311407i</v>
      </c>
      <c r="BJ94" s="20">
        <f t="shared" si="149"/>
        <v>62.75603502153632</v>
      </c>
      <c r="BK94" s="43">
        <f t="shared" si="102"/>
        <v>41.455924724776899</v>
      </c>
      <c r="BL94">
        <f t="shared" si="150"/>
        <v>52.775317375567887</v>
      </c>
      <c r="BM94" s="43">
        <f t="shared" si="151"/>
        <v>41.12971261054814</v>
      </c>
    </row>
    <row r="95" spans="14:65" x14ac:dyDescent="0.25">
      <c r="N95" s="9">
        <v>77</v>
      </c>
      <c r="O95" s="34">
        <f t="shared" si="116"/>
        <v>58.884365535558949</v>
      </c>
      <c r="P95" s="33" t="str">
        <f t="shared" si="103"/>
        <v>54,631621870174</v>
      </c>
      <c r="Q95" s="4" t="str">
        <f t="shared" si="104"/>
        <v>1+1,47460709124099i</v>
      </c>
      <c r="R95" s="4">
        <f t="shared" si="117"/>
        <v>1.7817031384431623</v>
      </c>
      <c r="S95" s="4">
        <f t="shared" si="118"/>
        <v>0.97488803015406578</v>
      </c>
      <c r="T95" s="4" t="str">
        <f t="shared" si="105"/>
        <v>1+0,0184990690177808i</v>
      </c>
      <c r="U95" s="4">
        <f t="shared" si="119"/>
        <v>1.0001710931408307</v>
      </c>
      <c r="V95" s="4">
        <f t="shared" si="120"/>
        <v>1.8496959227911572E-2</v>
      </c>
      <c r="W95" t="str">
        <f t="shared" si="106"/>
        <v>1-0,00147228127802668i</v>
      </c>
      <c r="X95" s="4">
        <f t="shared" si="121"/>
        <v>1.0000010838054934</v>
      </c>
      <c r="Y95" s="4">
        <f t="shared" si="122"/>
        <v>-1.4722802142497957E-3</v>
      </c>
      <c r="Z95" t="str">
        <f t="shared" si="107"/>
        <v>0,999999986130526+0,000202279539727136i</v>
      </c>
      <c r="AA95" s="4">
        <f t="shared" si="123"/>
        <v>1.0000000065890322</v>
      </c>
      <c r="AB95" s="4">
        <f t="shared" si="124"/>
        <v>2.0227953977375538E-4</v>
      </c>
      <c r="AC95" s="47" t="str">
        <f t="shared" si="125"/>
        <v>17,6371963259088-25,0887849276524i</v>
      </c>
      <c r="AD95" s="20">
        <f t="shared" si="126"/>
        <v>29.733670301088932</v>
      </c>
      <c r="AE95" s="43">
        <f t="shared" si="127"/>
        <v>-54.89311713451351</v>
      </c>
      <c r="AF95" t="str">
        <f t="shared" si="108"/>
        <v>171,265703090588</v>
      </c>
      <c r="AG95" t="str">
        <f t="shared" si="109"/>
        <v>1+1,46049507566594i</v>
      </c>
      <c r="AH95">
        <f t="shared" si="128"/>
        <v>1.7700412046176948</v>
      </c>
      <c r="AI95">
        <f t="shared" si="129"/>
        <v>0.97041324926019978</v>
      </c>
      <c r="AJ95" t="str">
        <f t="shared" si="110"/>
        <v>1+0,0184990690177808i</v>
      </c>
      <c r="AK95">
        <f t="shared" si="130"/>
        <v>1.0001710931408307</v>
      </c>
      <c r="AL95">
        <f t="shared" si="131"/>
        <v>1.8496959227911572E-2</v>
      </c>
      <c r="AM95" t="str">
        <f t="shared" si="111"/>
        <v>1-0,000465144516076253i</v>
      </c>
      <c r="AN95">
        <f t="shared" si="132"/>
        <v>1.0000001081797045</v>
      </c>
      <c r="AO95">
        <f t="shared" si="133"/>
        <v>-4.6514448253012465E-4</v>
      </c>
      <c r="AP95" s="41" t="str">
        <f t="shared" si="134"/>
        <v>56,1045253783953-78,8517902784541i</v>
      </c>
      <c r="AQ95">
        <f t="shared" si="135"/>
        <v>39.715227416835972</v>
      </c>
      <c r="AR95" s="43">
        <f t="shared" si="136"/>
        <v>-54.567436684314089</v>
      </c>
      <c r="AS95" t="str">
        <f t="shared" si="112"/>
        <v>-0,0000166666666666667</v>
      </c>
      <c r="AT95" t="str">
        <f t="shared" si="113"/>
        <v>1,22611829449851E-06i</v>
      </c>
      <c r="AU95">
        <f t="shared" si="137"/>
        <v>1.2261182944985101E-6</v>
      </c>
      <c r="AV95">
        <f t="shared" si="138"/>
        <v>1.5707963267948966</v>
      </c>
      <c r="AW95" t="str">
        <f t="shared" si="114"/>
        <v>1+0,000412628600420747i</v>
      </c>
      <c r="AX95">
        <f t="shared" si="139"/>
        <v>1.0000000851311774</v>
      </c>
      <c r="AY95">
        <f t="shared" si="140"/>
        <v>4.1262857700237601E-4</v>
      </c>
      <c r="AZ95" t="str">
        <f t="shared" si="115"/>
        <v>1+0,0976750844138826i</v>
      </c>
      <c r="BA95">
        <f t="shared" si="141"/>
        <v>1.0047588875522619</v>
      </c>
      <c r="BB95">
        <f t="shared" si="142"/>
        <v>9.7366229944943677E-2</v>
      </c>
      <c r="BC95" s="41" t="str">
        <f t="shared" si="143"/>
        <v>-1,32209156448903+13,5935787184548i</v>
      </c>
      <c r="BD95">
        <f t="shared" si="144"/>
        <v>22.707563932349327</v>
      </c>
      <c r="BE95" s="43">
        <f t="shared" si="145"/>
        <v>95.555032166976858</v>
      </c>
      <c r="BF95" s="41" t="str">
        <f t="shared" si="146"/>
        <v>317,728384380704+272,922287545212i</v>
      </c>
      <c r="BG95" s="20">
        <f t="shared" si="147"/>
        <v>52.441234233438259</v>
      </c>
      <c r="BH95" s="43">
        <f t="shared" si="148"/>
        <v>40.661915032463384</v>
      </c>
      <c r="BI95" s="41" t="str">
        <f t="shared" si="101"/>
        <v>997,702698508818+866,910568964764i</v>
      </c>
      <c r="BJ95" s="20">
        <f t="shared" si="149"/>
        <v>62.422791349185303</v>
      </c>
      <c r="BK95" s="43">
        <f t="shared" si="102"/>
        <v>40.987595482662755</v>
      </c>
      <c r="BL95">
        <f t="shared" si="150"/>
        <v>52.441234233438259</v>
      </c>
      <c r="BM95" s="43">
        <f t="shared" si="151"/>
        <v>40.661915032463384</v>
      </c>
    </row>
    <row r="96" spans="14:65" x14ac:dyDescent="0.25">
      <c r="N96" s="9">
        <v>78</v>
      </c>
      <c r="O96" s="34">
        <f t="shared" si="116"/>
        <v>60.255958607435822</v>
      </c>
      <c r="P96" s="33" t="str">
        <f t="shared" si="103"/>
        <v>54,631621870174</v>
      </c>
      <c r="Q96" s="4" t="str">
        <f t="shared" si="104"/>
        <v>1+1,50895510283441i</v>
      </c>
      <c r="R96" s="4">
        <f t="shared" si="117"/>
        <v>1.810233549122876</v>
      </c>
      <c r="S96" s="4">
        <f t="shared" si="118"/>
        <v>0.98553779101465333</v>
      </c>
      <c r="T96" s="4" t="str">
        <f t="shared" si="105"/>
        <v>1+0,0189299676896131i</v>
      </c>
      <c r="U96" s="4">
        <f t="shared" si="119"/>
        <v>1.0001791557899664</v>
      </c>
      <c r="V96" s="4">
        <f t="shared" si="120"/>
        <v>1.8927707030908094E-2</v>
      </c>
      <c r="W96" t="str">
        <f t="shared" si="106"/>
        <v>1-0,00150657511447086i</v>
      </c>
      <c r="X96" s="4">
        <f t="shared" si="121"/>
        <v>1.0000011348836437</v>
      </c>
      <c r="Y96" s="4">
        <f t="shared" si="122"/>
        <v>-1.506573974613462E-3</v>
      </c>
      <c r="Z96" t="str">
        <f t="shared" si="107"/>
        <v>0,999999985476878+0,000206991235484554i</v>
      </c>
      <c r="AA96" s="4">
        <f t="shared" si="123"/>
        <v>1.0000000068995638</v>
      </c>
      <c r="AB96" s="4">
        <f t="shared" si="124"/>
        <v>2.0699123553450749E-4</v>
      </c>
      <c r="AC96" s="47" t="str">
        <f t="shared" si="125"/>
        <v>17,1051479337879-24,8703406807816i</v>
      </c>
      <c r="AD96" s="20">
        <f t="shared" si="126"/>
        <v>29.595755472512867</v>
      </c>
      <c r="AE96" s="43">
        <f t="shared" si="127"/>
        <v>-55.480858301516605</v>
      </c>
      <c r="AF96" t="str">
        <f t="shared" si="108"/>
        <v>171,265703090588</v>
      </c>
      <c r="AG96" t="str">
        <f t="shared" si="109"/>
        <v>1+1,4945143761895i</v>
      </c>
      <c r="AH96">
        <f t="shared" si="128"/>
        <v>1.7982138973540076</v>
      </c>
      <c r="AI96">
        <f t="shared" si="129"/>
        <v>0.98110155633617524</v>
      </c>
      <c r="AJ96" t="str">
        <f t="shared" si="110"/>
        <v>1+0,0189299676896131i</v>
      </c>
      <c r="AK96">
        <f t="shared" si="130"/>
        <v>1.0001791557899664</v>
      </c>
      <c r="AL96">
        <f t="shared" si="131"/>
        <v>1.8927707030908094E-2</v>
      </c>
      <c r="AM96" t="str">
        <f t="shared" si="111"/>
        <v>1-0,000475979123698652i</v>
      </c>
      <c r="AN96">
        <f t="shared" si="132"/>
        <v>1.0000001132780567</v>
      </c>
      <c r="AO96">
        <f t="shared" si="133"/>
        <v>-4.7597908775332806E-4</v>
      </c>
      <c r="AP96" s="41" t="str">
        <f t="shared" si="134"/>
        <v>54,4260790507326-78,180022254379i</v>
      </c>
      <c r="AQ96">
        <f t="shared" si="135"/>
        <v>39.57813801265425</v>
      </c>
      <c r="AR96" s="43">
        <f t="shared" si="136"/>
        <v>-55.155772315913019</v>
      </c>
      <c r="AS96" t="str">
        <f t="shared" si="112"/>
        <v>-0,0000166666666666667</v>
      </c>
      <c r="AT96" t="str">
        <f t="shared" si="113"/>
        <v>1,25467825846756E-06i</v>
      </c>
      <c r="AU96">
        <f t="shared" si="137"/>
        <v>1.25467825846756E-6</v>
      </c>
      <c r="AV96">
        <f t="shared" si="138"/>
        <v>1.5707963267948966</v>
      </c>
      <c r="AW96" t="str">
        <f t="shared" si="114"/>
        <v>1+0,000422239955225166i</v>
      </c>
      <c r="AX96">
        <f t="shared" si="139"/>
        <v>1.0000000891432859</v>
      </c>
      <c r="AY96">
        <f t="shared" si="140"/>
        <v>4.2223993013192952E-4</v>
      </c>
      <c r="AZ96" t="str">
        <f t="shared" si="115"/>
        <v>1+0,0999502294011571i</v>
      </c>
      <c r="BA96">
        <f t="shared" si="141"/>
        <v>1.0049826109726196</v>
      </c>
      <c r="BB96">
        <f t="shared" si="142"/>
        <v>9.9619374427733817E-2</v>
      </c>
      <c r="BC96" s="41" t="str">
        <f t="shared" si="143"/>
        <v>-1,32209155388028+13,2841762145958i</v>
      </c>
      <c r="BD96">
        <f t="shared" si="144"/>
        <v>22.509497715305621</v>
      </c>
      <c r="BE96" s="43">
        <f t="shared" si="145"/>
        <v>95.683577146504192</v>
      </c>
      <c r="BF96" s="41" t="str">
        <f t="shared" si="146"/>
        <v>307,767416509399+260,108666685354i</v>
      </c>
      <c r="BG96" s="20">
        <f t="shared" si="147"/>
        <v>52.105253187818477</v>
      </c>
      <c r="BH96" s="43">
        <f t="shared" si="148"/>
        <v>40.202718844987629</v>
      </c>
      <c r="BI96" s="41" t="str">
        <f t="shared" si="101"/>
        <v>966,600932664398+826,36677188414i</v>
      </c>
      <c r="BJ96" s="20">
        <f t="shared" si="149"/>
        <v>62.087635727959871</v>
      </c>
      <c r="BK96" s="43">
        <f t="shared" si="102"/>
        <v>40.527804830591194</v>
      </c>
      <c r="BL96">
        <f t="shared" si="150"/>
        <v>52.105253187818477</v>
      </c>
      <c r="BM96" s="43">
        <f t="shared" si="151"/>
        <v>40.202718844987629</v>
      </c>
    </row>
    <row r="97" spans="14:65" x14ac:dyDescent="0.25">
      <c r="N97" s="9">
        <v>79</v>
      </c>
      <c r="O97" s="34">
        <f t="shared" si="116"/>
        <v>61.659500186148257</v>
      </c>
      <c r="P97" s="33" t="str">
        <f t="shared" si="103"/>
        <v>54,631621870174</v>
      </c>
      <c r="Q97" s="4" t="str">
        <f t="shared" si="104"/>
        <v>1+1,54410318239674i</v>
      </c>
      <c r="R97" s="4">
        <f t="shared" si="117"/>
        <v>1.839634376143189</v>
      </c>
      <c r="S97" s="4">
        <f t="shared" si="118"/>
        <v>0.99609243377520085</v>
      </c>
      <c r="T97" s="4" t="str">
        <f t="shared" si="105"/>
        <v>1+0,0193709032808822i</v>
      </c>
      <c r="U97" s="4">
        <f t="shared" si="119"/>
        <v>1.0001875983503881</v>
      </c>
      <c r="V97" s="4">
        <f t="shared" si="120"/>
        <v>1.9368480965975047E-2</v>
      </c>
      <c r="W97" t="str">
        <f t="shared" si="106"/>
        <v>1-0,00154166775698261i</v>
      </c>
      <c r="X97" s="4">
        <f t="shared" si="121"/>
        <v>1.0000011883690303</v>
      </c>
      <c r="Y97" s="4">
        <f t="shared" si="122"/>
        <v>-1.5416665356034812E-3</v>
      </c>
      <c r="Z97" t="str">
        <f t="shared" si="107"/>
        <v>0,999999984792424+0,00021181268073488i</v>
      </c>
      <c r="AA97" s="4">
        <f t="shared" si="123"/>
        <v>1.0000000072247299</v>
      </c>
      <c r="AB97" s="4">
        <f t="shared" si="124"/>
        <v>2.118126807884062E-4</v>
      </c>
      <c r="AC97" s="47" t="str">
        <f t="shared" si="125"/>
        <v>16,5825607040014-24,6427167465314i</v>
      </c>
      <c r="AD97" s="20">
        <f t="shared" si="126"/>
        <v>29.455891112964277</v>
      </c>
      <c r="AE97" s="43">
        <f t="shared" si="127"/>
        <v>-56.062627203866768</v>
      </c>
      <c r="AF97" t="str">
        <f t="shared" si="108"/>
        <v>171,265703090588</v>
      </c>
      <c r="AG97" t="str">
        <f t="shared" si="109"/>
        <v>1+1,52932608801756i</v>
      </c>
      <c r="AH97">
        <f t="shared" si="128"/>
        <v>1.8272488291119779</v>
      </c>
      <c r="AI97">
        <f t="shared" si="129"/>
        <v>0.99169639780579133</v>
      </c>
      <c r="AJ97" t="str">
        <f t="shared" si="110"/>
        <v>1+0,0193709032808822i</v>
      </c>
      <c r="AK97">
        <f t="shared" si="130"/>
        <v>1.0001875983503881</v>
      </c>
      <c r="AL97">
        <f t="shared" si="131"/>
        <v>1.9368480965975047E-2</v>
      </c>
      <c r="AM97" t="str">
        <f t="shared" si="111"/>
        <v>1-0,000487066101752766i</v>
      </c>
      <c r="AN97">
        <f t="shared" si="132"/>
        <v>1.0000001186166867</v>
      </c>
      <c r="AO97">
        <f t="shared" si="133"/>
        <v>-4.8706606323665775E-4</v>
      </c>
      <c r="AP97" s="41" t="str">
        <f t="shared" si="134"/>
        <v>52,7768581636238-77,4788723817007i</v>
      </c>
      <c r="AQ97">
        <f t="shared" si="135"/>
        <v>39.439084526519309</v>
      </c>
      <c r="AR97" s="43">
        <f t="shared" si="136"/>
        <v>-55.738192767436288</v>
      </c>
      <c r="AS97" t="str">
        <f t="shared" si="112"/>
        <v>-0,0000166666666666667</v>
      </c>
      <c r="AT97" t="str">
        <f t="shared" si="113"/>
        <v>1,28390346945687E-06i</v>
      </c>
      <c r="AU97">
        <f t="shared" si="137"/>
        <v>1.28390346945687E-6</v>
      </c>
      <c r="AV97">
        <f t="shared" si="138"/>
        <v>1.5707963267948966</v>
      </c>
      <c r="AW97" t="str">
        <f t="shared" si="114"/>
        <v>1+0,000432075187242852i</v>
      </c>
      <c r="AX97">
        <f t="shared" si="139"/>
        <v>1.0000000933444793</v>
      </c>
      <c r="AY97">
        <f t="shared" si="140"/>
        <v>4.3207516035496485E-4</v>
      </c>
      <c r="AZ97" t="str">
        <f t="shared" si="115"/>
        <v>1+0,102278369323058i</v>
      </c>
      <c r="BA97">
        <f t="shared" si="141"/>
        <v>1.0052168247852717</v>
      </c>
      <c r="BB97">
        <f t="shared" si="142"/>
        <v>0.1019239511246835</v>
      </c>
      <c r="BC97" s="41" t="str">
        <f t="shared" si="143"/>
        <v>-1,32209154277156+12,9818171568024i</v>
      </c>
      <c r="BD97">
        <f t="shared" si="144"/>
        <v>22.311521712153212</v>
      </c>
      <c r="BE97" s="43">
        <f t="shared" si="145"/>
        <v>95.815056147621249</v>
      </c>
      <c r="BF97" s="41" t="str">
        <f t="shared" si="146"/>
        <v>297,983579786087+247,851698452427i</v>
      </c>
      <c r="BG97" s="20">
        <f t="shared" si="147"/>
        <v>51.767412825117489</v>
      </c>
      <c r="BH97" s="43">
        <f t="shared" si="148"/>
        <v>39.752428943754488</v>
      </c>
      <c r="BI97" s="41" t="str">
        <f t="shared" si="101"/>
        <v>936,040716942285+787,573684709982i</v>
      </c>
      <c r="BJ97" s="20">
        <f t="shared" si="149"/>
        <v>61.750606238672525</v>
      </c>
      <c r="BK97" s="43">
        <f t="shared" si="102"/>
        <v>40.07686338018496</v>
      </c>
      <c r="BL97">
        <f t="shared" si="150"/>
        <v>51.767412825117489</v>
      </c>
      <c r="BM97" s="43">
        <f t="shared" si="151"/>
        <v>39.752428943754488</v>
      </c>
    </row>
    <row r="98" spans="14:65" x14ac:dyDescent="0.25">
      <c r="N98" s="9">
        <v>80</v>
      </c>
      <c r="O98" s="34">
        <f t="shared" si="116"/>
        <v>63.095734448019364</v>
      </c>
      <c r="P98" s="33" t="str">
        <f t="shared" si="103"/>
        <v>54,631621870174</v>
      </c>
      <c r="Q98" s="4" t="str">
        <f t="shared" si="104"/>
        <v>1+1,580069965905i</v>
      </c>
      <c r="R98" s="4">
        <f t="shared" si="117"/>
        <v>1.8699254255598077</v>
      </c>
      <c r="S98" s="4">
        <f t="shared" si="118"/>
        <v>1.0065481481454477</v>
      </c>
      <c r="T98" s="4" t="str">
        <f t="shared" si="105"/>
        <v>1+0,019822109581475i</v>
      </c>
      <c r="U98" s="4">
        <f t="shared" si="119"/>
        <v>1.0001964387200446</v>
      </c>
      <c r="V98" s="4">
        <f t="shared" si="120"/>
        <v>1.9819514051819823E-2</v>
      </c>
      <c r="W98" t="str">
        <f t="shared" si="106"/>
        <v>1-0,00157757781214549i</v>
      </c>
      <c r="X98" s="4">
        <f t="shared" si="121"/>
        <v>1.0000012443751025</v>
      </c>
      <c r="Y98" s="4">
        <f t="shared" si="122"/>
        <v>-1.5775765034142621E-3</v>
      </c>
      <c r="Z98" t="str">
        <f t="shared" si="107"/>
        <v>0,999999984075713+0,000216746431872203i</v>
      </c>
      <c r="AA98" s="4">
        <f t="shared" si="123"/>
        <v>1.0000000075652209</v>
      </c>
      <c r="AB98" s="4">
        <f t="shared" si="124"/>
        <v>2.1674643192955736E-4</v>
      </c>
      <c r="AC98" s="47" t="str">
        <f t="shared" si="125"/>
        <v>16,0697236003631-24,4064008706753i</v>
      </c>
      <c r="AD98" s="20">
        <f t="shared" si="126"/>
        <v>29.314112959832794</v>
      </c>
      <c r="AE98" s="43">
        <f t="shared" si="127"/>
        <v>-56.638193389552086</v>
      </c>
      <c r="AF98" t="str">
        <f t="shared" si="108"/>
        <v>171,265703090588</v>
      </c>
      <c r="AG98" t="str">
        <f t="shared" si="109"/>
        <v>1+1,56494866878051i</v>
      </c>
      <c r="AH98">
        <f t="shared" si="128"/>
        <v>1.8571656727168664</v>
      </c>
      <c r="AI98">
        <f t="shared" si="129"/>
        <v>1.0021938768456422</v>
      </c>
      <c r="AJ98" t="str">
        <f t="shared" si="110"/>
        <v>1+0,019822109581475i</v>
      </c>
      <c r="AK98">
        <f t="shared" si="130"/>
        <v>1.0001964387200446</v>
      </c>
      <c r="AL98">
        <f t="shared" si="131"/>
        <v>1.9819514051819823E-2</v>
      </c>
      <c r="AM98" t="str">
        <f t="shared" si="111"/>
        <v>1-0,000498411328701109i</v>
      </c>
      <c r="AN98">
        <f t="shared" si="132"/>
        <v>1.0000001242069185</v>
      </c>
      <c r="AO98">
        <f t="shared" si="133"/>
        <v>-4.984112874303557E-4</v>
      </c>
      <c r="AP98" s="41" t="str">
        <f t="shared" si="134"/>
        <v>51,1578082771131-76,7498571934251i</v>
      </c>
      <c r="AQ98">
        <f t="shared" si="135"/>
        <v>39.29810223803991</v>
      </c>
      <c r="AR98" s="43">
        <f t="shared" si="136"/>
        <v>-56.314461753171052</v>
      </c>
      <c r="AS98" t="str">
        <f t="shared" si="112"/>
        <v>-0,0000166666666666667</v>
      </c>
      <c r="AT98" t="str">
        <f t="shared" si="113"/>
        <v>1,31380942306016E-06i</v>
      </c>
      <c r="AU98">
        <f t="shared" si="137"/>
        <v>1.3138094230601601E-6</v>
      </c>
      <c r="AV98">
        <f t="shared" si="138"/>
        <v>1.5707963267948966</v>
      </c>
      <c r="AW98" t="str">
        <f t="shared" si="114"/>
        <v>1+0,000442139511244005i</v>
      </c>
      <c r="AX98">
        <f t="shared" si="139"/>
        <v>1.0000000977436689</v>
      </c>
      <c r="AY98">
        <f t="shared" si="140"/>
        <v>4.4213948243311497E-4</v>
      </c>
      <c r="AZ98" t="str">
        <f t="shared" si="115"/>
        <v>1+0,104660738590188i</v>
      </c>
      <c r="BA98">
        <f t="shared" si="141"/>
        <v>1.0054620182792802</v>
      </c>
      <c r="BB98">
        <f t="shared" si="142"/>
        <v>0.1042810839809955</v>
      </c>
      <c r="BC98" s="41" t="str">
        <f t="shared" si="143"/>
        <v>-1,3220915311393+12,6863412302996i</v>
      </c>
      <c r="BD98">
        <f t="shared" si="144"/>
        <v>22.113640086484274</v>
      </c>
      <c r="BE98" s="43">
        <f t="shared" si="145"/>
        <v>95.949533268860819</v>
      </c>
      <c r="BF98" s="41" t="str">
        <f t="shared" si="146"/>
        <v>288,382284169079+236,133492967516i</v>
      </c>
      <c r="BG98" s="20">
        <f t="shared" si="147"/>
        <v>51.427753046317086</v>
      </c>
      <c r="BH98" s="43">
        <f t="shared" si="148"/>
        <v>39.311339879308761</v>
      </c>
      <c r="BI98" s="41" t="str">
        <f t="shared" si="101"/>
        <v>906,039572657736+750,47574860928i</v>
      </c>
      <c r="BJ98" s="20">
        <f t="shared" si="149"/>
        <v>61.411742324524184</v>
      </c>
      <c r="BK98" s="43">
        <f t="shared" si="102"/>
        <v>39.635071515689773</v>
      </c>
      <c r="BL98">
        <f t="shared" si="150"/>
        <v>51.427753046317086</v>
      </c>
      <c r="BM98" s="43">
        <f t="shared" si="151"/>
        <v>39.311339879308761</v>
      </c>
    </row>
    <row r="99" spans="14:65" x14ac:dyDescent="0.25">
      <c r="N99" s="9">
        <v>81</v>
      </c>
      <c r="O99" s="34">
        <f t="shared" si="116"/>
        <v>64.565422903465588</v>
      </c>
      <c r="P99" s="33" t="str">
        <f t="shared" si="103"/>
        <v>54,631621870174</v>
      </c>
      <c r="Q99" s="4" t="str">
        <f t="shared" si="104"/>
        <v>1+1,61687452342387i</v>
      </c>
      <c r="R99" s="4">
        <f t="shared" si="117"/>
        <v>1.9011268301975979</v>
      </c>
      <c r="S99" s="4">
        <f t="shared" si="118"/>
        <v>1.0169013333162564</v>
      </c>
      <c r="T99" s="4" t="str">
        <f t="shared" si="105"/>
        <v>1+0,0202838258269445i</v>
      </c>
      <c r="U99" s="4">
        <f t="shared" si="119"/>
        <v>1.0002056956397409</v>
      </c>
      <c r="V99" s="4">
        <f t="shared" si="120"/>
        <v>2.0281044697701377E-2</v>
      </c>
      <c r="W99" t="str">
        <f t="shared" si="106"/>
        <v>1-0,00161432431994608i</v>
      </c>
      <c r="X99" s="4">
        <f t="shared" si="121"/>
        <v>1.000001303020656</v>
      </c>
      <c r="Y99" s="4">
        <f t="shared" si="122"/>
        <v>-1.6143229176154028E-3</v>
      </c>
      <c r="Z99" t="str">
        <f t="shared" si="107"/>
        <v>0,999999983325225+0,000221795104836683i</v>
      </c>
      <c r="AA99" s="4">
        <f t="shared" si="123"/>
        <v>1.0000000079217595</v>
      </c>
      <c r="AB99" s="4">
        <f t="shared" si="124"/>
        <v>2.2179510489813919E-4</v>
      </c>
      <c r="AC99" s="47" t="str">
        <f t="shared" si="125"/>
        <v>15,5668946315373-24,1618876477645i</v>
      </c>
      <c r="AD99" s="20">
        <f t="shared" si="126"/>
        <v>29.170457770603274</v>
      </c>
      <c r="AE99" s="43">
        <f t="shared" si="127"/>
        <v>-57.207338128331088</v>
      </c>
      <c r="AF99" t="str">
        <f t="shared" si="108"/>
        <v>171,265703090588</v>
      </c>
      <c r="AG99" t="str">
        <f t="shared" si="109"/>
        <v>1+1,60140100604219i</v>
      </c>
      <c r="AH99">
        <f t="shared" si="128"/>
        <v>1.8879844231753975</v>
      </c>
      <c r="AI99">
        <f t="shared" si="129"/>
        <v>1.0125903048108167</v>
      </c>
      <c r="AJ99" t="str">
        <f t="shared" si="110"/>
        <v>1+0,0202838258269445i</v>
      </c>
      <c r="AK99">
        <f t="shared" si="130"/>
        <v>1.0002056956397409</v>
      </c>
      <c r="AL99">
        <f t="shared" si="131"/>
        <v>2.0281044697701377E-2</v>
      </c>
      <c r="AM99" t="str">
        <f t="shared" si="111"/>
        <v>1-0,000510020819933184i</v>
      </c>
      <c r="AN99">
        <f t="shared" si="132"/>
        <v>1.0000001300606098</v>
      </c>
      <c r="AO99">
        <f t="shared" si="133"/>
        <v>-5.1002077571077537E-4</v>
      </c>
      <c r="AP99" s="41" t="str">
        <f t="shared" si="134"/>
        <v>49,5697779157162-75,9945176062139i</v>
      </c>
      <c r="AQ99">
        <f t="shared" si="135"/>
        <v>39.155227494776625</v>
      </c>
      <c r="AR99" s="43">
        <f t="shared" si="136"/>
        <v>-56.884354614143135</v>
      </c>
      <c r="AS99" t="str">
        <f t="shared" si="112"/>
        <v>-0,0000166666666666667</v>
      </c>
      <c r="AT99" t="str">
        <f t="shared" si="113"/>
        <v>1,34441197580989E-06i</v>
      </c>
      <c r="AU99">
        <f t="shared" si="137"/>
        <v>1.34441197580989E-6</v>
      </c>
      <c r="AV99">
        <f t="shared" si="138"/>
        <v>1.5707963267948966</v>
      </c>
      <c r="AW99" t="str">
        <f t="shared" si="114"/>
        <v>1+0,000452438263466427i</v>
      </c>
      <c r="AX99">
        <f t="shared" si="139"/>
        <v>1.0000001023501859</v>
      </c>
      <c r="AY99">
        <f t="shared" si="140"/>
        <v>4.5243823259500228E-4</v>
      </c>
      <c r="AZ99" t="str">
        <f t="shared" si="115"/>
        <v>1+0,107098600366267i</v>
      </c>
      <c r="BA99">
        <f t="shared" si="141"/>
        <v>1.0057187033163961</v>
      </c>
      <c r="BB99">
        <f t="shared" si="142"/>
        <v>0.1066919179511714</v>
      </c>
      <c r="BC99" s="41" t="str">
        <f t="shared" si="143"/>
        <v>-1,32209151895881+12,3975917698401i</v>
      </c>
      <c r="BD99">
        <f t="shared" si="144"/>
        <v>21.915857189757837</v>
      </c>
      <c r="BE99" s="43">
        <f t="shared" si="145"/>
        <v>96.087073805540115</v>
      </c>
      <c r="BF99" s="41" t="str">
        <f t="shared" si="146"/>
        <v>278,968360076845+224,93623150706i</v>
      </c>
      <c r="BG99" s="20">
        <f t="shared" si="147"/>
        <v>51.086314960361101</v>
      </c>
      <c r="BH99" s="43">
        <f t="shared" si="148"/>
        <v>38.879735677209105</v>
      </c>
      <c r="BI99" s="41" t="str">
        <f t="shared" si="101"/>
        <v>876,613223048726+715,017577935226i</v>
      </c>
      <c r="BJ99" s="20">
        <f t="shared" si="149"/>
        <v>61.071084684534462</v>
      </c>
      <c r="BK99" s="43">
        <f t="shared" si="102"/>
        <v>39.202719191396987</v>
      </c>
      <c r="BL99">
        <f t="shared" si="150"/>
        <v>51.086314960361101</v>
      </c>
      <c r="BM99" s="43">
        <f t="shared" si="151"/>
        <v>38.879735677209105</v>
      </c>
    </row>
    <row r="100" spans="14:65" x14ac:dyDescent="0.25">
      <c r="N100" s="9">
        <v>82</v>
      </c>
      <c r="O100" s="34">
        <f t="shared" si="116"/>
        <v>66.069344800759623</v>
      </c>
      <c r="P100" s="33" t="str">
        <f t="shared" si="103"/>
        <v>54,631621870174</v>
      </c>
      <c r="Q100" s="4" t="str">
        <f t="shared" si="104"/>
        <v>1+1,65453636921693i</v>
      </c>
      <c r="R100" s="4">
        <f t="shared" si="117"/>
        <v>1.9332590610317957</v>
      </c>
      <c r="S100" s="4">
        <f t="shared" si="118"/>
        <v>1.027148600408222</v>
      </c>
      <c r="T100" s="4" t="str">
        <f t="shared" si="105"/>
        <v>1+0,0207562968253557i</v>
      </c>
      <c r="U100" s="4">
        <f t="shared" si="119"/>
        <v>1.000215388732798</v>
      </c>
      <c r="V100" s="4">
        <f t="shared" si="120"/>
        <v>2.075331682633923E-2</v>
      </c>
      <c r="W100" t="str">
        <f t="shared" si="106"/>
        <v>1-0,00165192676386922i</v>
      </c>
      <c r="X100" s="4">
        <f t="shared" si="121"/>
        <v>1.0000013644300858</v>
      </c>
      <c r="Y100" s="4">
        <f t="shared" si="122"/>
        <v>-1.6519252612449378E-3</v>
      </c>
      <c r="Z100" t="str">
        <f t="shared" si="107"/>
        <v>0,999999982539367+0,000226961376501553i</v>
      </c>
      <c r="AA100" s="4">
        <f t="shared" si="123"/>
        <v>1.0000000082951002</v>
      </c>
      <c r="AB100" s="4">
        <f t="shared" si="124"/>
        <v>2.2696137656740451E-4</v>
      </c>
      <c r="AC100" s="47" t="str">
        <f t="shared" si="125"/>
        <v>15,0743010420037-23,9096763218309i</v>
      </c>
      <c r="AD100" s="20">
        <f t="shared" si="126"/>
        <v>29.024963208868325</v>
      </c>
      <c r="AE100" s="43">
        <f t="shared" si="127"/>
        <v>-57.76985454564376</v>
      </c>
      <c r="AF100" t="str">
        <f t="shared" si="108"/>
        <v>171,265703090588</v>
      </c>
      <c r="AG100" t="str">
        <f t="shared" si="109"/>
        <v>1+1,63870242731433i</v>
      </c>
      <c r="AH100">
        <f t="shared" si="128"/>
        <v>1.9197254088243656</v>
      </c>
      <c r="AI100">
        <f t="shared" si="129"/>
        <v>1.0228822040774888</v>
      </c>
      <c r="AJ100" t="str">
        <f t="shared" si="110"/>
        <v>1+0,0207562968253557i</v>
      </c>
      <c r="AK100">
        <f t="shared" si="130"/>
        <v>1.000215388732798</v>
      </c>
      <c r="AL100">
        <f t="shared" si="131"/>
        <v>2.075331682633923E-2</v>
      </c>
      <c r="AM100" t="str">
        <f t="shared" si="111"/>
        <v>1-0,000521900730954912i</v>
      </c>
      <c r="AN100">
        <f t="shared" si="132"/>
        <v>1.0000001361901771</v>
      </c>
      <c r="AO100">
        <f t="shared" si="133"/>
        <v>-5.2190068356974784E-4</v>
      </c>
      <c r="AP100" s="41" t="str">
        <f t="shared" si="134"/>
        <v>48,0135189350856-75,2144119491063i</v>
      </c>
      <c r="AQ100">
        <f t="shared" si="135"/>
        <v>39.010497598013885</v>
      </c>
      <c r="AR100" s="43">
        <f t="shared" si="136"/>
        <v>-57.447658474125937</v>
      </c>
      <c r="AS100" t="str">
        <f t="shared" si="112"/>
        <v>-0,0000166666666666667</v>
      </c>
      <c r="AT100" t="str">
        <f t="shared" si="113"/>
        <v>1,37572735358458E-06i</v>
      </c>
      <c r="AU100">
        <f t="shared" si="137"/>
        <v>1.37572735358458E-6</v>
      </c>
      <c r="AV100">
        <f t="shared" si="138"/>
        <v>1.5707963267948966</v>
      </c>
      <c r="AW100" t="str">
        <f t="shared" si="114"/>
        <v>1+0,000462976904444869i</v>
      </c>
      <c r="AX100">
        <f t="shared" si="139"/>
        <v>1.0000001071738014</v>
      </c>
      <c r="AY100">
        <f t="shared" si="140"/>
        <v>4.6297687136554166E-4</v>
      </c>
      <c r="AZ100" t="str">
        <f t="shared" si="115"/>
        <v>1+0,109593247237878i</v>
      </c>
      <c r="BA100">
        <f t="shared" si="141"/>
        <v>1.0059874153487918</v>
      </c>
      <c r="BB100">
        <f t="shared" si="142"/>
        <v>0.10915761913369554</v>
      </c>
      <c r="BC100" s="41" t="str">
        <f t="shared" si="143"/>
        <v>-1,3220915062043+12,1154156766382i</v>
      </c>
      <c r="BD100">
        <f t="shared" si="144"/>
        <v>21.718177569367455</v>
      </c>
      <c r="BE100" s="43">
        <f t="shared" si="145"/>
        <v>96.227744257315805</v>
      </c>
      <c r="BF100" s="41" t="str">
        <f t="shared" si="146"/>
        <v>269,746061963256+214,242203139842i</v>
      </c>
      <c r="BG100" s="20">
        <f t="shared" si="147"/>
        <v>50.743140778235791</v>
      </c>
      <c r="BH100" s="43">
        <f t="shared" si="148"/>
        <v>38.457889711672017</v>
      </c>
      <c r="BI100" s="41" t="str">
        <f t="shared" si="101"/>
        <v>847,77560007027+681,144075178766i</v>
      </c>
      <c r="BJ100" s="20">
        <f t="shared" si="149"/>
        <v>60.728675167381347</v>
      </c>
      <c r="BK100" s="43">
        <f t="shared" si="102"/>
        <v>38.78008578318989</v>
      </c>
      <c r="BL100">
        <f t="shared" si="150"/>
        <v>50.743140778235791</v>
      </c>
      <c r="BM100" s="43">
        <f t="shared" si="151"/>
        <v>38.457889711672017</v>
      </c>
    </row>
    <row r="101" spans="14:65" x14ac:dyDescent="0.25">
      <c r="N101" s="9">
        <v>83</v>
      </c>
      <c r="O101" s="34">
        <f t="shared" si="116"/>
        <v>67.60829753919819</v>
      </c>
      <c r="P101" s="33" t="str">
        <f t="shared" si="103"/>
        <v>54,631621870174</v>
      </c>
      <c r="Q101" s="4" t="str">
        <f t="shared" si="104"/>
        <v>1+1,69307547209333i</v>
      </c>
      <c r="R101" s="4">
        <f t="shared" si="117"/>
        <v>1.9663429391141445</v>
      </c>
      <c r="S101" s="4">
        <f t="shared" si="118"/>
        <v>1.0372867739978284</v>
      </c>
      <c r="T101" s="4" t="str">
        <f t="shared" si="105"/>
        <v>1+0,0212397730870858i</v>
      </c>
      <c r="U101" s="4">
        <f t="shared" si="119"/>
        <v>1.0002255385465775</v>
      </c>
      <c r="V101" s="4">
        <f t="shared" si="120"/>
        <v>2.1236579999495759E-2</v>
      </c>
      <c r="W101" t="str">
        <f t="shared" si="106"/>
        <v>1-0,0016904050812284i</v>
      </c>
      <c r="X101" s="4">
        <f t="shared" si="121"/>
        <v>1.0000014287336487</v>
      </c>
      <c r="Y101" s="4">
        <f t="shared" si="122"/>
        <v>-1.6904034711375973E-3</v>
      </c>
      <c r="Z101" t="str">
        <f t="shared" si="107"/>
        <v>0,999999981716472+0,000232247986092433i</v>
      </c>
      <c r="AA101" s="4">
        <f t="shared" si="123"/>
        <v>1.0000000086860357</v>
      </c>
      <c r="AB101" s="4">
        <f t="shared" si="124"/>
        <v>2.3224798616299435E-4</v>
      </c>
      <c r="AC101" s="47" t="str">
        <f t="shared" si="125"/>
        <v>14,5921396719906-23,6502686608777i</v>
      </c>
      <c r="AD101" s="20">
        <f t="shared" si="126"/>
        <v>28.877667731380615</v>
      </c>
      <c r="AE101" s="43">
        <f t="shared" si="127"/>
        <v>-58.325547703531036</v>
      </c>
      <c r="AF101" t="str">
        <f t="shared" si="108"/>
        <v>171,265703090588</v>
      </c>
      <c r="AG101" t="str">
        <f t="shared" si="109"/>
        <v>1+1,67687271030421i</v>
      </c>
      <c r="AH101">
        <f t="shared" si="128"/>
        <v>1.9524093030312542</v>
      </c>
      <c r="AI101">
        <f t="shared" si="129"/>
        <v>1.0330663099504556</v>
      </c>
      <c r="AJ101" t="str">
        <f t="shared" si="110"/>
        <v>1+0,0212397730870858i</v>
      </c>
      <c r="AK101">
        <f t="shared" si="130"/>
        <v>1.0002255385465775</v>
      </c>
      <c r="AL101">
        <f t="shared" si="131"/>
        <v>2.1236579999495759E-2</v>
      </c>
      <c r="AM101" t="str">
        <f t="shared" si="111"/>
        <v>1-0,000534057360652365i</v>
      </c>
      <c r="AN101">
        <f t="shared" si="132"/>
        <v>1.000000142608622</v>
      </c>
      <c r="AO101">
        <f t="shared" si="133"/>
        <v>-5.3405730987824719E-4</v>
      </c>
      <c r="AP101" s="41" t="str">
        <f t="shared" si="134"/>
        <v>46,489687432743-74,4111092046578i</v>
      </c>
      <c r="AQ101">
        <f t="shared" si="135"/>
        <v>38.863950689307273</v>
      </c>
      <c r="AR101" s="43">
        <f t="shared" si="136"/>
        <v>-58.004172341925937</v>
      </c>
      <c r="AS101" t="str">
        <f t="shared" si="112"/>
        <v>-0,0000166666666666667</v>
      </c>
      <c r="AT101" t="str">
        <f t="shared" si="113"/>
        <v>1,40777216021205E-06i</v>
      </c>
      <c r="AU101">
        <f t="shared" si="137"/>
        <v>1.4077721602120499E-6</v>
      </c>
      <c r="AV101">
        <f t="shared" si="138"/>
        <v>1.5707963267948966</v>
      </c>
      <c r="AW101" t="str">
        <f t="shared" si="114"/>
        <v>1+0,000473761021906271i</v>
      </c>
      <c r="AX101">
        <f t="shared" si="139"/>
        <v>1.0000001122247466</v>
      </c>
      <c r="AY101">
        <f t="shared" si="140"/>
        <v>4.7376098646113336E-4</v>
      </c>
      <c r="AZ101" t="str">
        <f t="shared" si="115"/>
        <v>1+0,112146001899813i</v>
      </c>
      <c r="BA101">
        <f t="shared" si="141"/>
        <v>1.0062687144804379</v>
      </c>
      <c r="BB101">
        <f t="shared" si="142"/>
        <v>0.11167937488528468</v>
      </c>
      <c r="BC101" s="41" t="str">
        <f t="shared" si="143"/>
        <v>-1,32209149284868+11,8396633371938i</v>
      </c>
      <c r="BD101">
        <f t="shared" si="144"/>
        <v>21.520605977015578</v>
      </c>
      <c r="BE101" s="43">
        <f t="shared" si="145"/>
        <v>96.371612334563963</v>
      </c>
      <c r="BF101" s="41" t="str">
        <f t="shared" si="146"/>
        <v>260,719075056179+204,03384008581i</v>
      </c>
      <c r="BG101" s="20">
        <f t="shared" si="147"/>
        <v>50.398273708396189</v>
      </c>
      <c r="BH101" s="43">
        <f t="shared" si="148"/>
        <v>38.046064631032856</v>
      </c>
      <c r="BI101" s="41" t="str">
        <f t="shared" si="101"/>
        <v>819,538861270287+648,800542307959i</v>
      </c>
      <c r="BJ101" s="20">
        <f t="shared" si="149"/>
        <v>60.384556666322844</v>
      </c>
      <c r="BK101" s="43">
        <f t="shared" si="102"/>
        <v>38.367439992638062</v>
      </c>
      <c r="BL101">
        <f t="shared" si="150"/>
        <v>50.398273708396189</v>
      </c>
      <c r="BM101" s="43">
        <f t="shared" si="151"/>
        <v>38.046064631032856</v>
      </c>
    </row>
    <row r="102" spans="14:65" x14ac:dyDescent="0.25">
      <c r="N102" s="9">
        <v>84</v>
      </c>
      <c r="O102" s="34">
        <f t="shared" si="116"/>
        <v>69.183097091893657</v>
      </c>
      <c r="P102" s="33" t="str">
        <f t="shared" si="103"/>
        <v>54,631621870174</v>
      </c>
      <c r="Q102" s="4" t="str">
        <f t="shared" si="104"/>
        <v>1+1,73251226599553i</v>
      </c>
      <c r="R102" s="4">
        <f t="shared" si="117"/>
        <v>2.0003996480266051</v>
      </c>
      <c r="S102" s="4">
        <f t="shared" si="118"/>
        <v>1.0473128927555035</v>
      </c>
      <c r="T102" s="4" t="str">
        <f t="shared" si="105"/>
        <v>1+0,0217345109576483i</v>
      </c>
      <c r="U102" s="4">
        <f t="shared" si="119"/>
        <v>1.0002361665959536</v>
      </c>
      <c r="V102" s="4">
        <f t="shared" si="120"/>
        <v>2.1731089546281432E-2</v>
      </c>
      <c r="W102" t="str">
        <f t="shared" si="106"/>
        <v>1-0,0017297796737368i</v>
      </c>
      <c r="X102" s="4">
        <f t="shared" si="121"/>
        <v>1.0000014960677406</v>
      </c>
      <c r="Y102" s="4">
        <f t="shared" si="122"/>
        <v>-1.7297779484935611E-3</v>
      </c>
      <c r="Z102" t="str">
        <f t="shared" si="107"/>
        <v>0,999999980854796+0,000237657736639705i</v>
      </c>
      <c r="AA102" s="4">
        <f t="shared" si="123"/>
        <v>1.000000009095396</v>
      </c>
      <c r="AB102" s="4">
        <f t="shared" si="124"/>
        <v>2.3765773671531278E-4</v>
      </c>
      <c r="AC102" s="47" t="str">
        <f t="shared" si="125"/>
        <v>14,1205774742368-23,3841669182403i</v>
      </c>
      <c r="AD102" s="20">
        <f t="shared" si="126"/>
        <v>28.728610476749466</v>
      </c>
      <c r="AE102" s="43">
        <f t="shared" si="127"/>
        <v>-58.874234630530871</v>
      </c>
      <c r="AF102" t="str">
        <f t="shared" si="108"/>
        <v>171,265703090588</v>
      </c>
      <c r="AG102" t="str">
        <f t="shared" si="109"/>
        <v>1+1,71593209340113i</v>
      </c>
      <c r="AH102">
        <f t="shared" si="128"/>
        <v>1.9860571364298623</v>
      </c>
      <c r="AI102">
        <f t="shared" si="129"/>
        <v>1.0431395716675822</v>
      </c>
      <c r="AJ102" t="str">
        <f t="shared" si="110"/>
        <v>1+0,0217345109576483i</v>
      </c>
      <c r="AK102">
        <f t="shared" si="130"/>
        <v>1.0002361665959536</v>
      </c>
      <c r="AL102">
        <f t="shared" si="131"/>
        <v>2.1731089546281432E-2</v>
      </c>
      <c r="AM102" t="str">
        <f t="shared" si="111"/>
        <v>1-0,00054649715463152i</v>
      </c>
      <c r="AN102">
        <f t="shared" si="132"/>
        <v>1.0000001493295589</v>
      </c>
      <c r="AO102">
        <f t="shared" si="133"/>
        <v>-5.4649710022607306E-4</v>
      </c>
      <c r="AP102" s="41" t="str">
        <f t="shared" si="134"/>
        <v>44,9988451662522-73,5861825056938i</v>
      </c>
      <c r="AQ102">
        <f t="shared" si="135"/>
        <v>38.715625638427404</v>
      </c>
      <c r="AR102" s="43">
        <f t="shared" si="136"/>
        <v>-58.553707161773261</v>
      </c>
      <c r="AS102" t="str">
        <f t="shared" si="112"/>
        <v>-0,0000166666666666667</v>
      </c>
      <c r="AT102" t="str">
        <f t="shared" si="113"/>
        <v>1,44056338627293E-06i</v>
      </c>
      <c r="AU102">
        <f t="shared" si="137"/>
        <v>1.4405633862729301E-6</v>
      </c>
      <c r="AV102">
        <f t="shared" si="138"/>
        <v>1.5707963267948966</v>
      </c>
      <c r="AW102" t="str">
        <f t="shared" si="114"/>
        <v>1+0,000484796333732456i</v>
      </c>
      <c r="AX102">
        <f t="shared" si="139"/>
        <v>1.0000001175137356</v>
      </c>
      <c r="AY102">
        <f t="shared" si="140"/>
        <v>4.8479629575230699E-4</v>
      </c>
      <c r="AZ102" t="str">
        <f t="shared" si="115"/>
        <v>1+0,114758217856383i</v>
      </c>
      <c r="BA102">
        <f t="shared" si="141"/>
        <v>1.0065631865737854</v>
      </c>
      <c r="BB102">
        <f t="shared" si="142"/>
        <v>0.11425839391275225</v>
      </c>
      <c r="BC102" s="41" t="str">
        <f t="shared" si="143"/>
        <v>-1,32209147886363+11,5701885439667i</v>
      </c>
      <c r="BD102">
        <f t="shared" si="144"/>
        <v>21.323147377404624</v>
      </c>
      <c r="BE102" s="43">
        <f t="shared" si="145"/>
        <v>96.518746963473816</v>
      </c>
      <c r="BF102" s="41" t="str">
        <f t="shared" si="146"/>
        <v>251,890525032307+194,293751549539i</v>
      </c>
      <c r="BG102" s="20">
        <f t="shared" si="147"/>
        <v>50.051757854154097</v>
      </c>
      <c r="BH102" s="43">
        <f t="shared" si="148"/>
        <v>37.644512332942909</v>
      </c>
      <c r="BI102" s="41" t="str">
        <f t="shared" si="101"/>
        <v>791,913416068615+617,932787687184i</v>
      </c>
      <c r="BJ102" s="20">
        <f t="shared" si="149"/>
        <v>60.038773015832028</v>
      </c>
      <c r="BK102" s="43">
        <f t="shared" si="102"/>
        <v>37.965039801700556</v>
      </c>
      <c r="BL102">
        <f t="shared" si="150"/>
        <v>50.051757854154097</v>
      </c>
      <c r="BM102" s="43">
        <f t="shared" si="151"/>
        <v>37.644512332942909</v>
      </c>
    </row>
    <row r="103" spans="14:65" x14ac:dyDescent="0.25">
      <c r="N103" s="9">
        <v>85</v>
      </c>
      <c r="O103" s="34">
        <f t="shared" si="116"/>
        <v>70.794578438413865</v>
      </c>
      <c r="P103" s="33" t="str">
        <f t="shared" si="103"/>
        <v>54,631621870174</v>
      </c>
      <c r="Q103" s="4" t="str">
        <f t="shared" si="104"/>
        <v>1+1,77286766083368i</v>
      </c>
      <c r="R103" s="4">
        <f t="shared" si="117"/>
        <v>2.0354507468445124</v>
      </c>
      <c r="S103" s="4">
        <f t="shared" si="118"/>
        <v>1.0572242092350728</v>
      </c>
      <c r="T103" s="4" t="str">
        <f t="shared" si="105"/>
        <v>1+0,0222407727536107i</v>
      </c>
      <c r="U103" s="4">
        <f t="shared" si="119"/>
        <v>1.0002472954088293</v>
      </c>
      <c r="V103" s="4">
        <f t="shared" si="120"/>
        <v>2.2237106694231158E-2</v>
      </c>
      <c r="W103" t="str">
        <f t="shared" si="106"/>
        <v>1-0,00177007141832455i</v>
      </c>
      <c r="X103" s="4">
        <f t="shared" si="121"/>
        <v>1.000001566575186</v>
      </c>
      <c r="Y103" s="4">
        <f t="shared" si="122"/>
        <v>-1.7700695696932698E-3</v>
      </c>
      <c r="Z103" t="str">
        <f t="shared" si="107"/>
        <v>0,999999979952511+0,000243193496464716i</v>
      </c>
      <c r="AA103" s="4">
        <f t="shared" si="123"/>
        <v>1.0000000095240495</v>
      </c>
      <c r="AB103" s="4">
        <f t="shared" si="124"/>
        <v>2.4319349654573105E-4</v>
      </c>
      <c r="AC103" s="47" t="str">
        <f t="shared" si="125"/>
        <v>13,6597521745491-23,1118718921457i</v>
      </c>
      <c r="AD103" s="20">
        <f t="shared" si="126"/>
        <v>28.577831156339016</v>
      </c>
      <c r="AE103" s="43">
        <f t="shared" si="127"/>
        <v>-59.415744302809031</v>
      </c>
      <c r="AF103" t="str">
        <f t="shared" si="108"/>
        <v>171,265703090588</v>
      </c>
      <c r="AG103" t="str">
        <f t="shared" si="109"/>
        <v>1+1,75590128640703i</v>
      </c>
      <c r="AH103">
        <f t="shared" si="128"/>
        <v>2.0206903096728754</v>
      </c>
      <c r="AI103">
        <f t="shared" si="129"/>
        <v>1.053099152538524</v>
      </c>
      <c r="AJ103" t="str">
        <f t="shared" si="110"/>
        <v>1+0,0222407727536107i</v>
      </c>
      <c r="AK103">
        <f t="shared" si="130"/>
        <v>1.0002472954088293</v>
      </c>
      <c r="AL103">
        <f t="shared" si="131"/>
        <v>2.2237106694231158E-2</v>
      </c>
      <c r="AM103" t="str">
        <f t="shared" si="111"/>
        <v>1-0,000559226708635807i</v>
      </c>
      <c r="AN103">
        <f t="shared" si="132"/>
        <v>1.0000001563672436</v>
      </c>
      <c r="AO103">
        <f t="shared" si="133"/>
        <v>-5.5922665033932071E-4</v>
      </c>
      <c r="AP103" s="41" t="str">
        <f t="shared" si="134"/>
        <v>43,5414614391025-72,7412029254785i</v>
      </c>
      <c r="AQ103">
        <f t="shared" si="135"/>
        <v>38.565561933279383</v>
      </c>
      <c r="AR103" s="43">
        <f t="shared" si="136"/>
        <v>-59.096085813955227</v>
      </c>
      <c r="AS103" t="str">
        <f t="shared" si="112"/>
        <v>-0,0000166666666666667</v>
      </c>
      <c r="AT103" t="str">
        <f t="shared" si="113"/>
        <v>1,47411841810932E-06i</v>
      </c>
      <c r="AU103">
        <f t="shared" si="137"/>
        <v>1.4741184181093201E-6</v>
      </c>
      <c r="AV103">
        <f t="shared" si="138"/>
        <v>1.5707963267948966</v>
      </c>
      <c r="AW103" t="str">
        <f t="shared" si="114"/>
        <v>1+0,000496088690991824i</v>
      </c>
      <c r="AX103">
        <f t="shared" si="139"/>
        <v>1.000000123051987</v>
      </c>
      <c r="AY103">
        <f t="shared" si="140"/>
        <v>4.9608865029536139E-4</v>
      </c>
      <c r="AZ103" t="str">
        <f t="shared" si="115"/>
        <v>1+0,117431280139065i</v>
      </c>
      <c r="BA103">
        <f t="shared" si="141"/>
        <v>1.0068714444034548</v>
      </c>
      <c r="BB103">
        <f t="shared" si="142"/>
        <v>0.11689590634041049</v>
      </c>
      <c r="BC103" s="41" t="str">
        <f t="shared" si="143"/>
        <v>-1,32209146421948+11,3068484178546i</v>
      </c>
      <c r="BD103">
        <f t="shared" si="144"/>
        <v>21.125806957249509</v>
      </c>
      <c r="BE103" s="43">
        <f t="shared" si="145"/>
        <v>96.669218289735809</v>
      </c>
      <c r="BF103" s="41" t="str">
        <f t="shared" si="146"/>
        <v>243,262990384041+185,004755813826i</v>
      </c>
      <c r="BG103" s="20">
        <f t="shared" si="147"/>
        <v>49.703638113588518</v>
      </c>
      <c r="BH103" s="43">
        <f t="shared" si="148"/>
        <v>37.253473986926721</v>
      </c>
      <c r="BI103" s="41" t="str">
        <f t="shared" si="101"/>
        <v>764,907960702508+588,487227868625i</v>
      </c>
      <c r="BJ103" s="20">
        <f t="shared" si="149"/>
        <v>59.691368890528892</v>
      </c>
      <c r="BK103" s="43">
        <f t="shared" si="102"/>
        <v>37.573132475780568</v>
      </c>
      <c r="BL103">
        <f t="shared" si="150"/>
        <v>49.703638113588518</v>
      </c>
      <c r="BM103" s="43">
        <f t="shared" si="151"/>
        <v>37.253473986926721</v>
      </c>
    </row>
    <row r="104" spans="14:65" x14ac:dyDescent="0.25">
      <c r="N104" s="9">
        <v>86</v>
      </c>
      <c r="O104" s="34">
        <f t="shared" si="116"/>
        <v>72.443596007499011</v>
      </c>
      <c r="P104" s="33" t="str">
        <f t="shared" si="103"/>
        <v>54,631621870174</v>
      </c>
      <c r="Q104" s="4" t="str">
        <f t="shared" si="104"/>
        <v>1+1,81416305357227i</v>
      </c>
      <c r="R104" s="4">
        <f t="shared" si="117"/>
        <v>2.0715181835906393</v>
      </c>
      <c r="S104" s="4">
        <f t="shared" si="118"/>
        <v>1.067018188858551</v>
      </c>
      <c r="T104" s="4" t="str">
        <f t="shared" si="105"/>
        <v>1+0,0227588269016785i</v>
      </c>
      <c r="U104" s="4">
        <f t="shared" si="119"/>
        <v>1.0002589485737883</v>
      </c>
      <c r="V104" s="4">
        <f t="shared" si="120"/>
        <v>2.2754898703201555E-2</v>
      </c>
      <c r="W104" t="str">
        <f t="shared" si="106"/>
        <v>1-0,00181130167820797i</v>
      </c>
      <c r="X104" s="4">
        <f t="shared" si="121"/>
        <v>1.0000016404055394</v>
      </c>
      <c r="Y104" s="4">
        <f t="shared" si="122"/>
        <v>-1.8112996973640404E-3</v>
      </c>
      <c r="Z104" t="str">
        <f t="shared" si="107"/>
        <v>0,999999979007702+0,000248858200700597i</v>
      </c>
      <c r="AA104" s="4">
        <f t="shared" si="123"/>
        <v>1.0000000099729043</v>
      </c>
      <c r="AB104" s="4">
        <f t="shared" si="124"/>
        <v>2.4885820078740615E-4</v>
      </c>
      <c r="AC104" s="47" t="str">
        <f t="shared" si="125"/>
        <v>13,2097730624666-22,8338810930246i</v>
      </c>
      <c r="AD104" s="20">
        <f t="shared" si="126"/>
        <v>28.425369947876664</v>
      </c>
      <c r="AE104" s="43">
        <f t="shared" si="127"/>
        <v>-59.949917579041468</v>
      </c>
      <c r="AF104" t="str">
        <f t="shared" si="108"/>
        <v>171,265703090588</v>
      </c>
      <c r="AG104" t="str">
        <f t="shared" si="109"/>
        <v>1+1,79680148151707i</v>
      </c>
      <c r="AH104">
        <f t="shared" si="128"/>
        <v>2.056330606683161</v>
      </c>
      <c r="AI104">
        <f t="shared" si="129"/>
        <v>1.0629424292599599</v>
      </c>
      <c r="AJ104" t="str">
        <f t="shared" si="110"/>
        <v>1+0,0227588269016785i</v>
      </c>
      <c r="AK104">
        <f t="shared" si="130"/>
        <v>1.0002589485737883</v>
      </c>
      <c r="AL104">
        <f t="shared" si="131"/>
        <v>2.2754898703201555E-2</v>
      </c>
      <c r="AM104" t="str">
        <f t="shared" si="111"/>
        <v>1-0,000572252772043251i</v>
      </c>
      <c r="AN104">
        <f t="shared" si="132"/>
        <v>1.0000001637366043</v>
      </c>
      <c r="AO104">
        <f t="shared" si="133"/>
        <v>-5.7225270957744117E-4</v>
      </c>
      <c r="AP104" s="41" t="str">
        <f t="shared" si="134"/>
        <v>42,1179154121869-71,8777335935446i</v>
      </c>
      <c r="AQ104">
        <f t="shared" si="135"/>
        <v>38.413799572326397</v>
      </c>
      <c r="AR104" s="43">
        <f t="shared" si="136"/>
        <v>-59.631143068111307</v>
      </c>
      <c r="AS104" t="str">
        <f t="shared" si="112"/>
        <v>-0,0000166666666666667</v>
      </c>
      <c r="AT104" t="str">
        <f t="shared" si="113"/>
        <v>1,50845504704326E-06i</v>
      </c>
      <c r="AU104">
        <f t="shared" si="137"/>
        <v>1.50845504704326E-6</v>
      </c>
      <c r="AV104">
        <f t="shared" si="138"/>
        <v>1.5707963267948966</v>
      </c>
      <c r="AW104" t="str">
        <f t="shared" si="114"/>
        <v>1+0,000507644081041665i</v>
      </c>
      <c r="AX104">
        <f t="shared" si="139"/>
        <v>1.0000001288512483</v>
      </c>
      <c r="AY104">
        <f t="shared" si="140"/>
        <v>5.0764403743461999E-4</v>
      </c>
      <c r="AZ104" t="str">
        <f t="shared" si="115"/>
        <v>1+0,120166606040863i</v>
      </c>
      <c r="BA104">
        <f t="shared" si="141"/>
        <v>1.0071941288586723</v>
      </c>
      <c r="BB104">
        <f t="shared" si="142"/>
        <v>0.11959316375079625</v>
      </c>
      <c r="BC104" s="41" t="str">
        <f t="shared" si="143"/>
        <v>-1,32209144888517+11,0495033324367i</v>
      </c>
      <c r="BD104">
        <f t="shared" si="144"/>
        <v>20.928590134620798</v>
      </c>
      <c r="BE104" s="43">
        <f t="shared" si="145"/>
        <v>96.8230976806976</v>
      </c>
      <c r="BF104" s="41" t="str">
        <f t="shared" si="146"/>
        <v>234,838517222238+176,149910412406i</v>
      </c>
      <c r="BG104" s="20">
        <f t="shared" si="147"/>
        <v>49.353960082497466</v>
      </c>
      <c r="BH104" s="43">
        <f t="shared" si="148"/>
        <v>36.87318010165616</v>
      </c>
      <c r="BI104" s="41" t="str">
        <f t="shared" si="101"/>
        <v>738,529521058547+560,410983651518i</v>
      </c>
      <c r="BJ104" s="20">
        <f t="shared" si="149"/>
        <v>59.342389706947188</v>
      </c>
      <c r="BK104" s="43">
        <f t="shared" si="102"/>
        <v>37.191954612586315</v>
      </c>
      <c r="BL104">
        <f t="shared" si="150"/>
        <v>49.353960082497466</v>
      </c>
      <c r="BM104" s="43">
        <f t="shared" si="151"/>
        <v>36.87318010165616</v>
      </c>
    </row>
    <row r="105" spans="14:65" x14ac:dyDescent="0.25">
      <c r="N105" s="9">
        <v>87</v>
      </c>
      <c r="O105" s="34">
        <f t="shared" si="116"/>
        <v>74.131024130091816</v>
      </c>
      <c r="P105" s="33" t="str">
        <f t="shared" si="103"/>
        <v>54,631621870174</v>
      </c>
      <c r="Q105" s="4" t="str">
        <f t="shared" si="104"/>
        <v>1+1,85642033957517i</v>
      </c>
      <c r="R105" s="4">
        <f t="shared" si="117"/>
        <v>2.1086243091618737</v>
      </c>
      <c r="S105" s="4">
        <f t="shared" si="118"/>
        <v>1.0766925081439913</v>
      </c>
      <c r="T105" s="4" t="str">
        <f t="shared" si="105"/>
        <v>1+0,0232889480810184i</v>
      </c>
      <c r="U105" s="4">
        <f t="shared" si="119"/>
        <v>1.0002711507899846</v>
      </c>
      <c r="V105" s="4">
        <f t="shared" si="120"/>
        <v>2.3284739002137376E-2</v>
      </c>
      <c r="W105" t="str">
        <f t="shared" si="106"/>
        <v>1-0,00185349231421659i</v>
      </c>
      <c r="X105" s="4">
        <f t="shared" si="121"/>
        <v>1.0000017177154041</v>
      </c>
      <c r="Y105" s="4">
        <f t="shared" si="122"/>
        <v>-1.8534901917042757E-3</v>
      </c>
      <c r="Z105" t="str">
        <f t="shared" si="107"/>
        <v>0,999999978018365+0,000254654852848519i</v>
      </c>
      <c r="AA105" s="4">
        <f t="shared" si="123"/>
        <v>1.0000000104429123</v>
      </c>
      <c r="AB105" s="4">
        <f t="shared" si="124"/>
        <v>2.5465485294153684E-4</v>
      </c>
      <c r="AC105" s="47" t="str">
        <f t="shared" si="125"/>
        <v>12,7707218979169-22,5506870263548i</v>
      </c>
      <c r="AD105" s="20">
        <f t="shared" si="126"/>
        <v>28.271267392227326</v>
      </c>
      <c r="AE105" s="43">
        <f t="shared" si="127"/>
        <v>-60.476607091779314</v>
      </c>
      <c r="AF105" t="str">
        <f t="shared" si="108"/>
        <v>171,265703090588</v>
      </c>
      <c r="AG105" t="str">
        <f t="shared" si="109"/>
        <v>1+1,83865436455609i</v>
      </c>
      <c r="AH105">
        <f t="shared" si="128"/>
        <v>2.0930002083853596</v>
      </c>
      <c r="AI105">
        <f t="shared" si="129"/>
        <v>1.0726669904535693</v>
      </c>
      <c r="AJ105" t="str">
        <f t="shared" si="110"/>
        <v>1+0,0232889480810184i</v>
      </c>
      <c r="AK105">
        <f t="shared" si="130"/>
        <v>1.0002711507899846</v>
      </c>
      <c r="AL105">
        <f t="shared" si="131"/>
        <v>2.3284739002137376E-2</v>
      </c>
      <c r="AM105" t="str">
        <f t="shared" si="111"/>
        <v>1-0,000585582251445096i</v>
      </c>
      <c r="AN105">
        <f t="shared" si="132"/>
        <v>1.0000001714532718</v>
      </c>
      <c r="AO105">
        <f t="shared" si="133"/>
        <v>-5.855821845117754E-4</v>
      </c>
      <c r="AP105" s="41" t="str">
        <f t="shared" si="134"/>
        <v>40,7284987971423-70,9973241638584i</v>
      </c>
      <c r="AQ105">
        <f t="shared" si="135"/>
        <v>38.260378959995464</v>
      </c>
      <c r="AR105" s="43">
        <f t="shared" si="136"/>
        <v>-60.158725491833707</v>
      </c>
      <c r="AS105" t="str">
        <f t="shared" si="112"/>
        <v>-0,0000166666666666667</v>
      </c>
      <c r="AT105" t="str">
        <f t="shared" si="113"/>
        <v>0,0000015435914788099i</v>
      </c>
      <c r="AU105">
        <f t="shared" si="137"/>
        <v>1.5435914788099E-6</v>
      </c>
      <c r="AV105">
        <f t="shared" si="138"/>
        <v>1.5707963267948966</v>
      </c>
      <c r="AW105" t="str">
        <f t="shared" si="114"/>
        <v>1+0,00051946863070274i</v>
      </c>
      <c r="AX105">
        <f t="shared" si="139"/>
        <v>1.0000001349238201</v>
      </c>
      <c r="AY105">
        <f t="shared" si="140"/>
        <v>5.1946858397694962E-4</v>
      </c>
      <c r="AZ105" t="str">
        <f t="shared" si="115"/>
        <v>1+0,122965645867777i</v>
      </c>
      <c r="BA105">
        <f t="shared" si="141"/>
        <v>1.0075319101962377</v>
      </c>
      <c r="BB105">
        <f t="shared" si="142"/>
        <v>0.12235143919637521</v>
      </c>
      <c r="BC105" s="41" t="str">
        <f t="shared" si="143"/>
        <v>-1,32209143282818+10,7980168399425i</v>
      </c>
      <c r="BD105">
        <f t="shared" si="144"/>
        <v>20.731502568625725</v>
      </c>
      <c r="BE105" s="43">
        <f t="shared" si="145"/>
        <v>96.980457725852276</v>
      </c>
      <c r="BF105" s="41" t="str">
        <f t="shared" si="146"/>
        <v>226,618636250585+167,712540233862i</v>
      </c>
      <c r="BG105" s="20">
        <f t="shared" si="147"/>
        <v>49.002769960853058</v>
      </c>
      <c r="BH105" s="43">
        <f t="shared" si="148"/>
        <v>36.503850634072883</v>
      </c>
      <c r="BI105" s="41" t="str">
        <f t="shared" si="101"/>
        <v>712,783502580545+533,651969907883i</v>
      </c>
      <c r="BJ105" s="20">
        <f t="shared" si="149"/>
        <v>58.991881528621199</v>
      </c>
      <c r="BK105" s="43">
        <f t="shared" si="102"/>
        <v>36.821732234018583</v>
      </c>
      <c r="BL105">
        <f t="shared" si="150"/>
        <v>49.002769960853058</v>
      </c>
      <c r="BM105" s="43">
        <f t="shared" si="151"/>
        <v>36.503850634072883</v>
      </c>
    </row>
    <row r="106" spans="14:65" x14ac:dyDescent="0.25">
      <c r="N106" s="9">
        <v>88</v>
      </c>
      <c r="O106" s="34">
        <f t="shared" si="116"/>
        <v>75.857757502918361</v>
      </c>
      <c r="P106" s="33" t="str">
        <f t="shared" si="103"/>
        <v>54,631621870174</v>
      </c>
      <c r="Q106" s="4" t="str">
        <f t="shared" si="104"/>
        <v>1+1,89966192421473i</v>
      </c>
      <c r="R106" s="4">
        <f t="shared" si="117"/>
        <v>2.1467918917098627</v>
      </c>
      <c r="S106" s="4">
        <f t="shared" si="118"/>
        <v>1.0862450522269136</v>
      </c>
      <c r="T106" s="4" t="str">
        <f t="shared" si="105"/>
        <v>1+0,0238314173688964i</v>
      </c>
      <c r="U106" s="4">
        <f t="shared" si="119"/>
        <v>1.0002839279193736</v>
      </c>
      <c r="V106" s="4">
        <f t="shared" si="120"/>
        <v>2.3826907328756475E-2</v>
      </c>
      <c r="W106" t="str">
        <f t="shared" si="106"/>
        <v>1-0,00189666569638407i</v>
      </c>
      <c r="X106" s="4">
        <f t="shared" si="121"/>
        <v>1.0000017986687644</v>
      </c>
      <c r="Y106" s="4">
        <f t="shared" si="122"/>
        <v>-1.8966634220713705E-3</v>
      </c>
      <c r="Z106" t="str">
        <f t="shared" si="107"/>
        <v>0,999999976982403+0,000260586526370176i</v>
      </c>
      <c r="AA106" s="4">
        <f t="shared" si="123"/>
        <v>1.000000010935072</v>
      </c>
      <c r="AB106" s="4">
        <f t="shared" si="124"/>
        <v>2.6058652646984628E-4</v>
      </c>
      <c r="AC106" s="47" t="str">
        <f t="shared" si="125"/>
        <v>12,3426539195539-22,2627755970821i</v>
      </c>
      <c r="AD106" s="20">
        <f t="shared" si="126"/>
        <v>28.115564293739247</v>
      </c>
      <c r="AE106" s="43">
        <f t="shared" si="127"/>
        <v>-60.99567709818912</v>
      </c>
      <c r="AF106" t="str">
        <f t="shared" si="108"/>
        <v>171,265703090588</v>
      </c>
      <c r="AG106" t="str">
        <f t="shared" si="109"/>
        <v>1+1,88148212647667i</v>
      </c>
      <c r="AH106">
        <f t="shared" si="128"/>
        <v>2.1307217068991369</v>
      </c>
      <c r="AI106">
        <f t="shared" si="129"/>
        <v>1.082270634476159</v>
      </c>
      <c r="AJ106" t="str">
        <f t="shared" si="110"/>
        <v>1+0,0238314173688964i</v>
      </c>
      <c r="AK106">
        <f t="shared" si="130"/>
        <v>1.0002839279193736</v>
      </c>
      <c r="AL106">
        <f t="shared" si="131"/>
        <v>2.3826907328756475E-2</v>
      </c>
      <c r="AM106" t="str">
        <f t="shared" si="111"/>
        <v>1-0,000599222214307753i</v>
      </c>
      <c r="AN106">
        <f t="shared" si="132"/>
        <v>1.0000001795336149</v>
      </c>
      <c r="AO106">
        <f t="shared" si="133"/>
        <v>-5.9922214258740852E-4</v>
      </c>
      <c r="AP106" s="41" t="str">
        <f t="shared" si="134"/>
        <v>39,3734188869063-70,1015056565047i</v>
      </c>
      <c r="AQ106">
        <f t="shared" si="135"/>
        <v>38.105340805491871</v>
      </c>
      <c r="AR106" s="43">
        <f t="shared" si="136"/>
        <v>-60.678691317403661</v>
      </c>
      <c r="AS106" t="str">
        <f t="shared" si="112"/>
        <v>-0,0000166666666666667</v>
      </c>
      <c r="AT106" t="str">
        <f t="shared" si="113"/>
        <v>1,57954634321046E-06i</v>
      </c>
      <c r="AU106">
        <f t="shared" si="137"/>
        <v>1.5795463432104599E-6</v>
      </c>
      <c r="AV106">
        <f t="shared" si="138"/>
        <v>1.5707963267948966</v>
      </c>
      <c r="AW106" t="str">
        <f t="shared" si="114"/>
        <v>1+0,000531568609507793i</v>
      </c>
      <c r="AX106">
        <f t="shared" si="139"/>
        <v>1.0000001412825834</v>
      </c>
      <c r="AY106">
        <f t="shared" si="140"/>
        <v>5.3156855944020711E-4</v>
      </c>
      <c r="AZ106" t="str">
        <f t="shared" si="115"/>
        <v>1+0,125829883707773i</v>
      </c>
      <c r="BA106">
        <f t="shared" si="141"/>
        <v>1.0078854893458442</v>
      </c>
      <c r="BB106">
        <f t="shared" si="142"/>
        <v>0.1251720271797247</v>
      </c>
      <c r="BC106" s="41" t="str">
        <f t="shared" si="143"/>
        <v>-1,32209141601445+10,5522555989046i</v>
      </c>
      <c r="BD106">
        <f t="shared" si="144"/>
        <v>20.534550169432102</v>
      </c>
      <c r="BE106" s="43">
        <f t="shared" si="145"/>
        <v>97.141372235517295</v>
      </c>
      <c r="BF106" s="41" t="str">
        <f t="shared" si="146"/>
        <v>218,604381643587+159,676263441513i</v>
      </c>
      <c r="BG106" s="20">
        <f t="shared" si="147"/>
        <v>48.650114463171349</v>
      </c>
      <c r="BH106" s="43">
        <f t="shared" si="148"/>
        <v>36.145695137328225</v>
      </c>
      <c r="BI106" s="41" t="str">
        <f t="shared" si="101"/>
        <v>687,673746425974+508,158978775526i</v>
      </c>
      <c r="BJ106" s="20">
        <f t="shared" si="149"/>
        <v>58.639890974923965</v>
      </c>
      <c r="BK106" s="43">
        <f t="shared" si="102"/>
        <v>36.46268091811362</v>
      </c>
      <c r="BL106">
        <f t="shared" si="150"/>
        <v>48.650114463171349</v>
      </c>
      <c r="BM106" s="43">
        <f t="shared" si="151"/>
        <v>36.145695137328225</v>
      </c>
    </row>
    <row r="107" spans="14:65" x14ac:dyDescent="0.25">
      <c r="N107" s="9">
        <v>89</v>
      </c>
      <c r="O107" s="34">
        <f t="shared" si="116"/>
        <v>77.624711662869217</v>
      </c>
      <c r="P107" s="33" t="str">
        <f t="shared" si="103"/>
        <v>54,631621870174</v>
      </c>
      <c r="Q107" s="4" t="str">
        <f t="shared" si="104"/>
        <v>1+1,9439107347515i</v>
      </c>
      <c r="R107" s="4">
        <f t="shared" si="117"/>
        <v>2.1860441314580354</v>
      </c>
      <c r="S107" s="4">
        <f t="shared" si="118"/>
        <v>1.0956739117282324</v>
      </c>
      <c r="T107" s="4" t="str">
        <f t="shared" si="105"/>
        <v>1+0,0243865223897096i</v>
      </c>
      <c r="U107" s="4">
        <f t="shared" si="119"/>
        <v>1.0002973070413934</v>
      </c>
      <c r="V107" s="4">
        <f t="shared" si="120"/>
        <v>2.4381689872203891E-2</v>
      </c>
      <c r="W107" t="str">
        <f t="shared" si="106"/>
        <v>1-0,00194084471580912i</v>
      </c>
      <c r="X107" s="4">
        <f t="shared" si="121"/>
        <v>1.0000018834373319</v>
      </c>
      <c r="Y107" s="4">
        <f t="shared" si="122"/>
        <v>-1.9408422788394044E-3</v>
      </c>
      <c r="Z107" t="str">
        <f t="shared" si="107"/>
        <v>0,999999975897617+0,000266656366317385i</v>
      </c>
      <c r="AA107" s="4">
        <f t="shared" si="123"/>
        <v>1.0000000114504262</v>
      </c>
      <c r="AB107" s="4">
        <f t="shared" si="124"/>
        <v>2.6665636642418363E-4</v>
      </c>
      <c r="AC107" s="47" t="str">
        <f t="shared" si="125"/>
        <v>11,9255989404581-21,9706246399789i</v>
      </c>
      <c r="AD107" s="20">
        <f t="shared" si="126"/>
        <v>27.958301624510451</v>
      </c>
      <c r="AE107" s="43">
        <f t="shared" si="127"/>
        <v>-61.507003293197563</v>
      </c>
      <c r="AF107" t="str">
        <f t="shared" si="108"/>
        <v>171,265703090588</v>
      </c>
      <c r="AG107" t="str">
        <f t="shared" si="109"/>
        <v>1+1,92530747512507i</v>
      </c>
      <c r="AH107">
        <f t="shared" si="128"/>
        <v>2.1695181201761078</v>
      </c>
      <c r="AI107">
        <f t="shared" si="129"/>
        <v>1.0917513665539706</v>
      </c>
      <c r="AJ107" t="str">
        <f t="shared" si="110"/>
        <v>1+0,0243865223897096i</v>
      </c>
      <c r="AK107">
        <f t="shared" si="130"/>
        <v>1.0002973070413934</v>
      </c>
      <c r="AL107">
        <f t="shared" si="131"/>
        <v>2.4381689872203891E-2</v>
      </c>
      <c r="AM107" t="str">
        <f t="shared" si="111"/>
        <v>1-0,00061317989272008i</v>
      </c>
      <c r="AN107">
        <f t="shared" si="132"/>
        <v>1.0000001879947726</v>
      </c>
      <c r="AO107">
        <f t="shared" si="133"/>
        <v>-6.1317981587034702E-4</v>
      </c>
      <c r="AP107" s="41" t="str">
        <f t="shared" si="134"/>
        <v>38,0528018785818-69,1917856887266i</v>
      </c>
      <c r="AQ107">
        <f t="shared" si="135"/>
        <v>37.94872602539521</v>
      </c>
      <c r="AR107" s="43">
        <f t="shared" si="136"/>
        <v>-61.190910269640462</v>
      </c>
      <c r="AS107" t="str">
        <f t="shared" si="112"/>
        <v>-0,0000166666666666667</v>
      </c>
      <c r="AT107" t="str">
        <f t="shared" si="113"/>
        <v>1,61633870398995E-06i</v>
      </c>
      <c r="AU107">
        <f t="shared" si="137"/>
        <v>1.6163387039899501E-6</v>
      </c>
      <c r="AV107">
        <f t="shared" si="138"/>
        <v>1.5707963267948966</v>
      </c>
      <c r="AW107" t="str">
        <f t="shared" si="114"/>
        <v>1+0,000543950433025749i</v>
      </c>
      <c r="AX107">
        <f t="shared" si="139"/>
        <v>1.0000001479410259</v>
      </c>
      <c r="AY107">
        <f t="shared" si="140"/>
        <v>5.4395037937736456E-4</v>
      </c>
      <c r="AZ107" t="str">
        <f t="shared" si="115"/>
        <v>1+0,128760838217667i</v>
      </c>
      <c r="BA107">
        <f t="shared" si="141"/>
        <v>1.0082555992696078</v>
      </c>
      <c r="BB107">
        <f t="shared" si="142"/>
        <v>0.12805624359955403</v>
      </c>
      <c r="BC107" s="41" t="str">
        <f t="shared" si="143"/>
        <v>-1,32209139840832+10,3120893034601i</v>
      </c>
      <c r="BD107">
        <f t="shared" si="144"/>
        <v>20.337739108643575</v>
      </c>
      <c r="BE107" s="43">
        <f t="shared" si="145"/>
        <v>97.305916237550719</v>
      </c>
      <c r="BF107" s="41" t="str">
        <f t="shared" si="146"/>
        <v>210,796311560216+152,025015125427i</v>
      </c>
      <c r="BG107" s="20">
        <f t="shared" si="147"/>
        <v>48.296040733154015</v>
      </c>
      <c r="BH107" s="43">
        <f t="shared" si="148"/>
        <v>35.798912944353184</v>
      </c>
      <c r="BI107" s="41" t="str">
        <f t="shared" si="101"/>
        <v>663,202591039012+483,881755918387i</v>
      </c>
      <c r="BJ107" s="20">
        <f t="shared" si="149"/>
        <v>58.286465134038778</v>
      </c>
      <c r="BK107" s="43">
        <f t="shared" si="102"/>
        <v>36.115005967910264</v>
      </c>
      <c r="BL107">
        <f t="shared" si="150"/>
        <v>48.296040733154015</v>
      </c>
      <c r="BM107" s="43">
        <f t="shared" si="151"/>
        <v>35.798912944353184</v>
      </c>
    </row>
    <row r="108" spans="14:65" x14ac:dyDescent="0.25">
      <c r="N108" s="9">
        <v>90</v>
      </c>
      <c r="O108" s="34">
        <f t="shared" si="116"/>
        <v>79.432823472428197</v>
      </c>
      <c r="P108" s="33" t="str">
        <f t="shared" si="103"/>
        <v>54,631621870174</v>
      </c>
      <c r="Q108" s="4" t="str">
        <f t="shared" si="104"/>
        <v>1+1,98919023249054i</v>
      </c>
      <c r="R108" s="4">
        <f t="shared" si="117"/>
        <v>2.2264046759373661</v>
      </c>
      <c r="S108" s="4">
        <f t="shared" si="118"/>
        <v>1.1049773790229422</v>
      </c>
      <c r="T108" s="4" t="str">
        <f t="shared" si="105"/>
        <v>1+0,0249545574674876i</v>
      </c>
      <c r="U108" s="4">
        <f t="shared" si="119"/>
        <v>1.0003113165102142</v>
      </c>
      <c r="V108" s="4">
        <f t="shared" si="120"/>
        <v>2.4949379418720719E-2</v>
      </c>
      <c r="W108" t="str">
        <f t="shared" si="106"/>
        <v>1-0,0019860527967926i</v>
      </c>
      <c r="X108" s="4">
        <f t="shared" si="121"/>
        <v>1.000001972200911</v>
      </c>
      <c r="Y108" s="4">
        <f t="shared" si="122"/>
        <v>-1.9860501855327815E-3</v>
      </c>
      <c r="Z108" t="str">
        <f t="shared" si="107"/>
        <v>0,999999974761706+0,00027286759099963i</v>
      </c>
      <c r="AA108" s="4">
        <f t="shared" si="123"/>
        <v>1.0000000119900672</v>
      </c>
      <c r="AB108" s="4">
        <f t="shared" si="124"/>
        <v>2.7286759111406697E-4</v>
      </c>
      <c r="AC108" s="47" t="str">
        <f t="shared" si="125"/>
        <v>11,519562517076-21,6747025787098i</v>
      </c>
      <c r="AD108" s="20">
        <f t="shared" si="126"/>
        <v>27.799520432875227</v>
      </c>
      <c r="AE108" s="43">
        <f t="shared" si="127"/>
        <v>-62.010472588147628</v>
      </c>
      <c r="AF108" t="str">
        <f t="shared" si="108"/>
        <v>171,265703090588</v>
      </c>
      <c r="AG108" t="str">
        <f t="shared" si="109"/>
        <v>1+1,97015364728124i</v>
      </c>
      <c r="AH108">
        <f t="shared" si="128"/>
        <v>2.2094129070627728</v>
      </c>
      <c r="AI108">
        <f t="shared" si="129"/>
        <v>1.1011073952949411</v>
      </c>
      <c r="AJ108" t="str">
        <f t="shared" si="110"/>
        <v>1+0,0249545574674876i</v>
      </c>
      <c r="AK108">
        <f t="shared" si="130"/>
        <v>1.0003113165102142</v>
      </c>
      <c r="AL108">
        <f t="shared" si="131"/>
        <v>2.4949379418720719E-2</v>
      </c>
      <c r="AM108" t="str">
        <f t="shared" si="111"/>
        <v>1-0,000627462687227923i</v>
      </c>
      <c r="AN108">
        <f t="shared" si="132"/>
        <v>1.0000001968546925</v>
      </c>
      <c r="AO108">
        <f t="shared" si="133"/>
        <v>-6.2746260488195135E-4</v>
      </c>
      <c r="AP108" s="41" t="str">
        <f t="shared" si="134"/>
        <v>36,7666964440532-68,269644106041i</v>
      </c>
      <c r="AQ108">
        <f t="shared" si="135"/>
        <v>37.790575650357397</v>
      </c>
      <c r="AR108" s="43">
        <f t="shared" si="136"/>
        <v>-61.695263357942068</v>
      </c>
      <c r="AS108" t="str">
        <f t="shared" si="112"/>
        <v>-0,0000166666666666667</v>
      </c>
      <c r="AT108" t="str">
        <f t="shared" si="113"/>
        <v>1,65398806894507E-06i</v>
      </c>
      <c r="AU108">
        <f t="shared" si="137"/>
        <v>1.6539880689450699E-6</v>
      </c>
      <c r="AV108">
        <f t="shared" si="138"/>
        <v>1.5707963267948966</v>
      </c>
      <c r="AW108" t="str">
        <f t="shared" si="114"/>
        <v>1+0,000556620666263331i</v>
      </c>
      <c r="AX108">
        <f t="shared" si="139"/>
        <v>1.0000001549132711</v>
      </c>
      <c r="AY108">
        <f t="shared" si="140"/>
        <v>5.5662060877805181E-4</v>
      </c>
      <c r="AZ108" t="str">
        <f t="shared" si="115"/>
        <v>1+0,131760063428334i</v>
      </c>
      <c r="BA108">
        <f t="shared" si="141"/>
        <v>1.0086430063776968</v>
      </c>
      <c r="BB108">
        <f t="shared" si="142"/>
        <v>0.13100542565975334</v>
      </c>
      <c r="BC108" s="41" t="str">
        <f t="shared" si="143"/>
        <v>-1,32209137997243+10,07739061426i</v>
      </c>
      <c r="BD108">
        <f t="shared" si="144"/>
        <v>20.141075830029578</v>
      </c>
      <c r="BE108" s="43">
        <f t="shared" si="145"/>
        <v>97.474165971945723</v>
      </c>
      <c r="BF108" s="41" t="str">
        <f t="shared" si="146"/>
        <v>203,194530028687+144,743068632741i</v>
      </c>
      <c r="BG108" s="20">
        <f t="shared" si="147"/>
        <v>47.940596262904776</v>
      </c>
      <c r="BH108" s="43">
        <f t="shared" si="148"/>
        <v>35.463693383798066</v>
      </c>
      <c r="BI108" s="41" t="str">
        <f t="shared" si="101"/>
        <v>639,370938314342+460,771069649031i</v>
      </c>
      <c r="BJ108" s="20">
        <f t="shared" si="149"/>
        <v>57.931651480386968</v>
      </c>
      <c r="BK108" s="43">
        <f t="shared" si="102"/>
        <v>35.778902614003684</v>
      </c>
      <c r="BL108">
        <f t="shared" si="150"/>
        <v>47.940596262904776</v>
      </c>
      <c r="BM108" s="43">
        <f t="shared" si="151"/>
        <v>35.463693383798066</v>
      </c>
    </row>
    <row r="109" spans="14:65" x14ac:dyDescent="0.25">
      <c r="N109" s="9">
        <v>91</v>
      </c>
      <c r="O109" s="34">
        <f t="shared" si="116"/>
        <v>81.283051616409963</v>
      </c>
      <c r="P109" s="33" t="str">
        <f t="shared" si="103"/>
        <v>54,631621870174</v>
      </c>
      <c r="Q109" s="4" t="str">
        <f t="shared" si="104"/>
        <v>1+2,0355244252209i</v>
      </c>
      <c r="R109" s="4">
        <f t="shared" si="117"/>
        <v>2.2678976356244291</v>
      </c>
      <c r="S109" s="4">
        <f t="shared" si="118"/>
        <v>1.1141539439647876</v>
      </c>
      <c r="T109" s="4" t="str">
        <f t="shared" si="105"/>
        <v>1+0,0255358237819473i</v>
      </c>
      <c r="U109" s="4">
        <f t="shared" si="119"/>
        <v>1.0003259860146705</v>
      </c>
      <c r="V109" s="4">
        <f t="shared" si="120"/>
        <v>2.5530275500379188E-2</v>
      </c>
      <c r="W109" t="str">
        <f t="shared" si="106"/>
        <v>1-0,00203231390925746i</v>
      </c>
      <c r="X109" s="4">
        <f t="shared" si="121"/>
        <v>1.0000020651477803</v>
      </c>
      <c r="Y109" s="4">
        <f t="shared" si="122"/>
        <v>-2.0323111112424655E-3</v>
      </c>
      <c r="Z109" t="str">
        <f t="shared" si="107"/>
        <v>0,999999973572262+0,000279223493690452i</v>
      </c>
      <c r="AA109" s="4">
        <f t="shared" si="123"/>
        <v>1.000000012555142</v>
      </c>
      <c r="AB109" s="4">
        <f t="shared" si="124"/>
        <v>2.7922349381307343E-4</v>
      </c>
      <c r="AC109" s="47" t="str">
        <f t="shared" si="125"/>
        <v>11,1245271776231-21,3754672148733i</v>
      </c>
      <c r="AD109" s="20">
        <f t="shared" si="126"/>
        <v>27.639261756356916</v>
      </c>
      <c r="AE109" s="43">
        <f t="shared" si="127"/>
        <v>-62.505982858127652</v>
      </c>
      <c r="AF109" t="str">
        <f t="shared" si="108"/>
        <v>171,265703090588</v>
      </c>
      <c r="AG109" t="str">
        <f t="shared" si="109"/>
        <v>1+2,01604442097926i</v>
      </c>
      <c r="AH109">
        <f t="shared" si="128"/>
        <v>2.2504299827725363</v>
      </c>
      <c r="AI109">
        <f t="shared" si="129"/>
        <v>1.1103371286338279</v>
      </c>
      <c r="AJ109" t="str">
        <f t="shared" si="110"/>
        <v>1+0,0255358237819473i</v>
      </c>
      <c r="AK109">
        <f t="shared" si="130"/>
        <v>1.0003259860146705</v>
      </c>
      <c r="AL109">
        <f t="shared" si="131"/>
        <v>2.5530275500379188E-2</v>
      </c>
      <c r="AM109" t="str">
        <f t="shared" si="111"/>
        <v>1-0,000642078170757983i</v>
      </c>
      <c r="AN109">
        <f t="shared" si="132"/>
        <v>1.0000002061321673</v>
      </c>
      <c r="AO109">
        <f t="shared" si="133"/>
        <v>-6.4207808252268565E-4</v>
      </c>
      <c r="AP109" s="41" t="str">
        <f t="shared" si="134"/>
        <v>35,5150775046919-67,3365290193215i</v>
      </c>
      <c r="AQ109">
        <f t="shared" si="135"/>
        <v>37.630930736170193</v>
      </c>
      <c r="AR109" s="43">
        <f t="shared" si="136"/>
        <v>-62.191642635661147</v>
      </c>
      <c r="AS109" t="str">
        <f t="shared" si="112"/>
        <v>-0,0000166666666666667</v>
      </c>
      <c r="AT109" t="str">
        <f t="shared" si="113"/>
        <v>1,69251440026747E-06i</v>
      </c>
      <c r="AU109">
        <f t="shared" si="137"/>
        <v>1.69251440026747E-6</v>
      </c>
      <c r="AV109">
        <f t="shared" si="138"/>
        <v>1.5707963267948966</v>
      </c>
      <c r="AW109" t="str">
        <f t="shared" si="114"/>
        <v>1+0,00056958602714591i</v>
      </c>
      <c r="AX109">
        <f t="shared" si="139"/>
        <v>1.0000001622141079</v>
      </c>
      <c r="AY109">
        <f t="shared" si="140"/>
        <v>5.6958596554932414E-4</v>
      </c>
      <c r="AZ109" t="str">
        <f t="shared" si="115"/>
        <v>1+0,134829149568682i</v>
      </c>
      <c r="BA109">
        <f t="shared" si="141"/>
        <v>1.0090485120019821</v>
      </c>
      <c r="BB109">
        <f t="shared" si="142"/>
        <v>0.1340209317385169</v>
      </c>
      <c r="BC109" s="41" t="str">
        <f t="shared" si="143"/>
        <v>-1,32209136066769+9,84803509095259i</v>
      </c>
      <c r="BD109">
        <f t="shared" si="144"/>
        <v>19.944567060616873</v>
      </c>
      <c r="BE109" s="43">
        <f t="shared" si="145"/>
        <v>97.646198883132072</v>
      </c>
      <c r="BF109" s="41" t="str">
        <f t="shared" si="146"/>
        <v>195,79870994453+137,815054550508i</v>
      </c>
      <c r="BG109" s="20">
        <f t="shared" si="147"/>
        <v>47.583828816973785</v>
      </c>
      <c r="BH109" s="43">
        <f t="shared" si="148"/>
        <v>35.140216025004584</v>
      </c>
      <c r="BI109" s="41" t="str">
        <f t="shared" si="101"/>
        <v>616,178323542829+438,778772797901i</v>
      </c>
      <c r="BJ109" s="20">
        <f t="shared" si="149"/>
        <v>57.575497796787062</v>
      </c>
      <c r="BK109" s="43">
        <f t="shared" si="102"/>
        <v>35.454556247470933</v>
      </c>
      <c r="BL109">
        <f t="shared" si="150"/>
        <v>47.583828816973785</v>
      </c>
      <c r="BM109" s="43">
        <f t="shared" si="151"/>
        <v>35.140216025004584</v>
      </c>
    </row>
    <row r="110" spans="14:65" x14ac:dyDescent="0.25">
      <c r="N110" s="9">
        <v>92</v>
      </c>
      <c r="O110" s="34">
        <f t="shared" si="116"/>
        <v>83.176377110267126</v>
      </c>
      <c r="P110" s="33" t="str">
        <f t="shared" si="103"/>
        <v>54,631621870174</v>
      </c>
      <c r="Q110" s="4" t="str">
        <f t="shared" si="104"/>
        <v>1+2,08293787994485i</v>
      </c>
      <c r="R110" s="4">
        <f t="shared" si="117"/>
        <v>2.3105475999661089</v>
      </c>
      <c r="S110" s="4">
        <f t="shared" si="118"/>
        <v>1.1232022891223572</v>
      </c>
      <c r="T110" s="4" t="str">
        <f t="shared" si="105"/>
        <v>1+0,0261306295281829i</v>
      </c>
      <c r="U110" s="4">
        <f t="shared" si="119"/>
        <v>1.0003413466410049</v>
      </c>
      <c r="V110" s="4">
        <f t="shared" si="120"/>
        <v>2.6124684546931121E-2</v>
      </c>
      <c r="W110" t="str">
        <f t="shared" si="106"/>
        <v>1-0,00207965258145786i</v>
      </c>
      <c r="X110" s="4">
        <f t="shared" si="121"/>
        <v>1.0000021624750917</v>
      </c>
      <c r="Y110" s="4">
        <f t="shared" si="122"/>
        <v>-2.0796495833311276E-3</v>
      </c>
      <c r="Z110" t="str">
        <f t="shared" si="107"/>
        <v>0,999999972326761+0,000285727444373589i</v>
      </c>
      <c r="AA110" s="4">
        <f t="shared" si="123"/>
        <v>1.0000000131468476</v>
      </c>
      <c r="AB110" s="4">
        <f t="shared" si="124"/>
        <v>2.8572744450498018E-4</v>
      </c>
      <c r="AC110" s="47" t="str">
        <f t="shared" si="125"/>
        <v>10,7404536966736-21,0733646469065i</v>
      </c>
      <c r="AD110" s="20">
        <f t="shared" si="126"/>
        <v>27.477566539283881</v>
      </c>
      <c r="AE110" s="43">
        <f t="shared" si="127"/>
        <v>-62.993442661146354</v>
      </c>
      <c r="AF110" t="str">
        <f t="shared" si="108"/>
        <v>171,265703090588</v>
      </c>
      <c r="AG110" t="str">
        <f t="shared" si="109"/>
        <v>1+2,06300412811479i</v>
      </c>
      <c r="AH110">
        <f t="shared" si="128"/>
        <v>2.2925937347508096</v>
      </c>
      <c r="AI110">
        <f t="shared" si="129"/>
        <v>1.1194391692656183</v>
      </c>
      <c r="AJ110" t="str">
        <f t="shared" si="110"/>
        <v>1+0,0261306295281829i</v>
      </c>
      <c r="AK110">
        <f t="shared" si="130"/>
        <v>1.0003413466410049</v>
      </c>
      <c r="AL110">
        <f t="shared" si="131"/>
        <v>2.6124684546931121E-2</v>
      </c>
      <c r="AM110" t="str">
        <f t="shared" si="111"/>
        <v>1-0,00065703409263309i</v>
      </c>
      <c r="AN110">
        <f t="shared" si="132"/>
        <v>1.0000002158468762</v>
      </c>
      <c r="AO110">
        <f t="shared" si="133"/>
        <v>-6.5703399808726671E-4</v>
      </c>
      <c r="AP110" s="41" t="str">
        <f t="shared" si="134"/>
        <v>34,2978501678686-66,3938532492607i</v>
      </c>
      <c r="AQ110">
        <f t="shared" si="135"/>
        <v>37.46983227942021</v>
      </c>
      <c r="AR110" s="43">
        <f t="shared" si="136"/>
        <v>-62.679950929988067</v>
      </c>
      <c r="AS110" t="str">
        <f t="shared" si="112"/>
        <v>-0,0000166666666666667</v>
      </c>
      <c r="AT110" t="str">
        <f t="shared" si="113"/>
        <v>1,73193812512797E-06i</v>
      </c>
      <c r="AU110">
        <f t="shared" si="137"/>
        <v>1.73193812512797E-6</v>
      </c>
      <c r="AV110">
        <f t="shared" si="138"/>
        <v>1.5707963267948966</v>
      </c>
      <c r="AW110" t="str">
        <f t="shared" si="114"/>
        <v>1+0,000582853390079446i</v>
      </c>
      <c r="AX110">
        <f t="shared" si="139"/>
        <v>1.0000001698590228</v>
      </c>
      <c r="AY110">
        <f t="shared" si="140"/>
        <v>5.8285332407751573E-4</v>
      </c>
      <c r="AZ110" t="str">
        <f t="shared" si="115"/>
        <v>1+0,137969723908806i</v>
      </c>
      <c r="BA110">
        <f t="shared" si="141"/>
        <v>1.0094729539296594</v>
      </c>
      <c r="BB110">
        <f t="shared" si="142"/>
        <v>0.13710414121438336</v>
      </c>
      <c r="BC110" s="41" t="str">
        <f t="shared" si="143"/>
        <v>-1,32209134045313+9,62390112620352i</v>
      </c>
      <c r="BD110">
        <f t="shared" si="144"/>
        <v>19.748219822145828</v>
      </c>
      <c r="BE110" s="43">
        <f t="shared" si="145"/>
        <v>97.822093609804966</v>
      </c>
      <c r="BF110" s="41" t="str">
        <f t="shared" si="146"/>
        <v>188,608116933351+131,22597734124i</v>
      </c>
      <c r="BG110" s="20">
        <f t="shared" si="147"/>
        <v>47.225786361429705</v>
      </c>
      <c r="BH110" s="43">
        <f t="shared" si="148"/>
        <v>34.828650948658606</v>
      </c>
      <c r="BI110" s="41" t="str">
        <f t="shared" si="101"/>
        <v>593,622988355453+417,857857297074i</v>
      </c>
      <c r="BJ110" s="20">
        <f t="shared" si="149"/>
        <v>57.218052101566037</v>
      </c>
      <c r="BK110" s="43">
        <f t="shared" si="102"/>
        <v>35.142142679816942</v>
      </c>
      <c r="BL110">
        <f t="shared" si="150"/>
        <v>47.225786361429705</v>
      </c>
      <c r="BM110" s="43">
        <f t="shared" si="151"/>
        <v>34.828650948658606</v>
      </c>
    </row>
    <row r="111" spans="14:65" x14ac:dyDescent="0.25">
      <c r="N111" s="9">
        <v>93</v>
      </c>
      <c r="O111" s="34">
        <f t="shared" si="116"/>
        <v>85.113803820237734</v>
      </c>
      <c r="P111" s="33" t="str">
        <f t="shared" si="103"/>
        <v>54,631621870174</v>
      </c>
      <c r="Q111" s="4" t="str">
        <f t="shared" si="104"/>
        <v>1+2,1314557359037i</v>
      </c>
      <c r="R111" s="4">
        <f t="shared" si="117"/>
        <v>2.3543796537765069</v>
      </c>
      <c r="S111" s="4">
        <f t="shared" si="118"/>
        <v>1.1321212845817252</v>
      </c>
      <c r="T111" s="4" t="str">
        <f t="shared" si="105"/>
        <v>1+0,0267392900800742i</v>
      </c>
      <c r="U111" s="4">
        <f t="shared" si="119"/>
        <v>1.0003574309385552</v>
      </c>
      <c r="V111" s="4">
        <f t="shared" si="120"/>
        <v>2.6732920040815737E-2</v>
      </c>
      <c r="W111" t="str">
        <f t="shared" si="106"/>
        <v>1-0,00212809391298441i</v>
      </c>
      <c r="X111" s="4">
        <f t="shared" si="121"/>
        <v>1.0000022643892874</v>
      </c>
      <c r="Y111" s="4">
        <f t="shared" si="122"/>
        <v>-2.1280907004341291E-3</v>
      </c>
      <c r="Z111" t="str">
        <f t="shared" si="107"/>
        <v>0,999999971022562+0,000292382891529783i</v>
      </c>
      <c r="AA111" s="4">
        <f t="shared" si="123"/>
        <v>1.0000000137664398</v>
      </c>
      <c r="AB111" s="4">
        <f t="shared" si="124"/>
        <v>2.9238289167057103E-4</v>
      </c>
      <c r="AC111" s="47" t="str">
        <f t="shared" si="125"/>
        <v>10,3672824032761-20,7688283174787i</v>
      </c>
      <c r="AD111" s="20">
        <f t="shared" si="126"/>
        <v>27.314475555216198</v>
      </c>
      <c r="AE111" s="43">
        <f t="shared" si="127"/>
        <v>-63.472770932312976</v>
      </c>
      <c r="AF111" t="str">
        <f t="shared" si="108"/>
        <v>171,265703090588</v>
      </c>
      <c r="AG111" t="str">
        <f t="shared" si="109"/>
        <v>1+2,11105766734613i</v>
      </c>
      <c r="AH111">
        <f t="shared" si="128"/>
        <v>2.3359290389181098</v>
      </c>
      <c r="AI111">
        <f t="shared" si="129"/>
        <v>1.1284123096225152</v>
      </c>
      <c r="AJ111" t="str">
        <f t="shared" si="110"/>
        <v>1+0,0267392900800742i</v>
      </c>
      <c r="AK111">
        <f t="shared" si="130"/>
        <v>1.0003574309385552</v>
      </c>
      <c r="AL111">
        <f t="shared" si="131"/>
        <v>2.6732920040815737E-2</v>
      </c>
      <c r="AM111" t="str">
        <f t="shared" si="111"/>
        <v>1-0,000672338382680986i</v>
      </c>
      <c r="AN111">
        <f t="shared" si="132"/>
        <v>1.0000002260194247</v>
      </c>
      <c r="AO111">
        <f t="shared" si="133"/>
        <v>-6.7233828137331232E-4</v>
      </c>
      <c r="AP111" s="41" t="str">
        <f t="shared" si="134"/>
        <v>33,1148537847716-65,4429911755057i</v>
      </c>
      <c r="AQ111">
        <f t="shared" si="135"/>
        <v>37.307321137899024</v>
      </c>
      <c r="AR111" s="43">
        <f t="shared" si="136"/>
        <v>-63.16010154550797</v>
      </c>
      <c r="AS111" t="str">
        <f t="shared" si="112"/>
        <v>-0,0000166666666666667</v>
      </c>
      <c r="AT111" t="str">
        <f t="shared" si="113"/>
        <v>1,77228014650732E-06i</v>
      </c>
      <c r="AU111">
        <f t="shared" si="137"/>
        <v>1.7722801465073199E-6</v>
      </c>
      <c r="AV111">
        <f t="shared" si="138"/>
        <v>1.5707963267948966</v>
      </c>
      <c r="AW111" t="str">
        <f t="shared" si="114"/>
        <v>1+0,000596429789595378i</v>
      </c>
      <c r="AX111">
        <f t="shared" si="139"/>
        <v>1.0000001778642311</v>
      </c>
      <c r="AY111">
        <f t="shared" si="140"/>
        <v>5.9642971887303618E-4</v>
      </c>
      <c r="AZ111" t="str">
        <f t="shared" si="115"/>
        <v>1+0,141183451622792i</v>
      </c>
      <c r="BA111">
        <f t="shared" si="141"/>
        <v>1.0099172079988168</v>
      </c>
      <c r="BB111">
        <f t="shared" si="142"/>
        <v>0.14025645424590533</v>
      </c>
      <c r="BC111" s="41" t="str">
        <f t="shared" si="143"/>
        <v>-1,32209131928591+9,40486988121787i</v>
      </c>
      <c r="BD111">
        <f t="shared" si="144"/>
        <v>19.552041442894989</v>
      </c>
      <c r="BE111" s="43">
        <f t="shared" si="145"/>
        <v>98.001929972092526</v>
      </c>
      <c r="BF111" s="41" t="str">
        <f t="shared" si="146"/>
        <v>181,621633841283+124,961229654929i</v>
      </c>
      <c r="BG111" s="20">
        <f t="shared" si="147"/>
        <v>46.866516998111166</v>
      </c>
      <c r="BH111" s="43">
        <f t="shared" si="148"/>
        <v>34.529159039779529</v>
      </c>
      <c r="BI111" s="41" t="str">
        <f t="shared" si="101"/>
        <v>571,701955915052+397,962501522572i</v>
      </c>
      <c r="BJ111" s="20">
        <f t="shared" si="149"/>
        <v>56.859362580794013</v>
      </c>
      <c r="BK111" s="43">
        <f t="shared" si="102"/>
        <v>34.841828426584513</v>
      </c>
      <c r="BL111">
        <f t="shared" si="150"/>
        <v>46.866516998111166</v>
      </c>
      <c r="BM111" s="43">
        <f t="shared" si="151"/>
        <v>34.529159039779529</v>
      </c>
    </row>
    <row r="112" spans="14:65" x14ac:dyDescent="0.25">
      <c r="N112" s="9">
        <v>94</v>
      </c>
      <c r="O112" s="34">
        <f t="shared" si="116"/>
        <v>87.096358995608071</v>
      </c>
      <c r="P112" s="33" t="str">
        <f t="shared" si="103"/>
        <v>54,631621870174</v>
      </c>
      <c r="Q112" s="4" t="str">
        <f t="shared" si="104"/>
        <v>1+2,18110371790687i</v>
      </c>
      <c r="R112" s="4">
        <f t="shared" si="117"/>
        <v>2.3994193939924657</v>
      </c>
      <c r="S112" s="4">
        <f t="shared" si="118"/>
        <v>1.1409099823698898</v>
      </c>
      <c r="T112" s="4" t="str">
        <f t="shared" si="105"/>
        <v>1+0,0273621281575021i</v>
      </c>
      <c r="U112" s="4">
        <f t="shared" si="119"/>
        <v>1.0003742729885188</v>
      </c>
      <c r="V112" s="4">
        <f t="shared" si="120"/>
        <v>2.7355302675375906E-2</v>
      </c>
      <c r="W112" t="str">
        <f t="shared" si="106"/>
        <v>1-0,00217766358807227i</v>
      </c>
      <c r="X112" s="4">
        <f t="shared" si="121"/>
        <v>1.0000023711065404</v>
      </c>
      <c r="Y112" s="4">
        <f t="shared" si="122"/>
        <v>-2.1776601457630658E-3</v>
      </c>
      <c r="Z112" t="str">
        <f t="shared" si="107"/>
        <v>0,999999969656897+0,00029919336396521i</v>
      </c>
      <c r="AA112" s="4">
        <f t="shared" si="123"/>
        <v>1.0000000144152317</v>
      </c>
      <c r="AB112" s="4">
        <f t="shared" si="124"/>
        <v>2.9919336411606717E-4</v>
      </c>
      <c r="AC112" s="47" t="str">
        <f t="shared" si="125"/>
        <v>10,0049345106605-20,4622781868765i</v>
      </c>
      <c r="AD112" s="20">
        <f t="shared" si="126"/>
        <v>27.150029334287417</v>
      </c>
      <c r="AE112" s="43">
        <f t="shared" si="127"/>
        <v>-63.943896656126057</v>
      </c>
      <c r="AF112" t="str">
        <f t="shared" si="108"/>
        <v>171,265703090588</v>
      </c>
      <c r="AG112" t="str">
        <f t="shared" si="109"/>
        <v>1+2,16023051729585i</v>
      </c>
      <c r="AH112">
        <f t="shared" si="128"/>
        <v>2.3804612762774142</v>
      </c>
      <c r="AI112">
        <f t="shared" si="129"/>
        <v>1.1372555264492223</v>
      </c>
      <c r="AJ112" t="str">
        <f t="shared" si="110"/>
        <v>1+0,0273621281575021i</v>
      </c>
      <c r="AK112">
        <f t="shared" si="130"/>
        <v>1.0003742729885188</v>
      </c>
      <c r="AL112">
        <f t="shared" si="131"/>
        <v>2.7355302675375906E-2</v>
      </c>
      <c r="AM112" t="str">
        <f t="shared" si="111"/>
        <v>1-0,000687999155438827i</v>
      </c>
      <c r="AN112">
        <f t="shared" si="132"/>
        <v>1.0000002366713909</v>
      </c>
      <c r="AO112">
        <f t="shared" si="133"/>
        <v>-6.8799904688570019E-4</v>
      </c>
      <c r="AP112" s="41" t="str">
        <f t="shared" si="134"/>
        <v>31,9658660911662-64,4852759840624i</v>
      </c>
      <c r="AQ112">
        <f t="shared" si="135"/>
        <v>37.143437955890185</v>
      </c>
      <c r="AR112" s="43">
        <f t="shared" si="136"/>
        <v>-63.632017944562605</v>
      </c>
      <c r="AS112" t="str">
        <f t="shared" si="112"/>
        <v>-0,0000166666666666667</v>
      </c>
      <c r="AT112" t="str">
        <f t="shared" si="113"/>
        <v>1,81356185427924E-06i</v>
      </c>
      <c r="AU112">
        <f t="shared" si="137"/>
        <v>1.8135618542792401E-6</v>
      </c>
      <c r="AV112">
        <f t="shared" si="138"/>
        <v>1.5707963267948966</v>
      </c>
      <c r="AW112" t="str">
        <f t="shared" si="114"/>
        <v>1+0,000610322424080434i</v>
      </c>
      <c r="AX112">
        <f t="shared" si="139"/>
        <v>1.0000001862467134</v>
      </c>
      <c r="AY112">
        <f t="shared" si="140"/>
        <v>6.1032234830008024E-4</v>
      </c>
      <c r="AZ112" t="str">
        <f t="shared" si="115"/>
        <v>1+0,144472036671611i</v>
      </c>
      <c r="BA112">
        <f t="shared" si="141"/>
        <v>1.0103821897579368</v>
      </c>
      <c r="BB112">
        <f t="shared" si="142"/>
        <v>0.14347929150143909</v>
      </c>
      <c r="BC112" s="41" t="str">
        <f t="shared" si="143"/>
        <v>-1,3220912971211+9,19082522273029i</v>
      </c>
      <c r="BD112">
        <f t="shared" si="144"/>
        <v>19.35603956987655</v>
      </c>
      <c r="BE112" s="43">
        <f t="shared" si="145"/>
        <v>98.185788955859621</v>
      </c>
      <c r="BF112" s="41" t="str">
        <f t="shared" si="146"/>
        <v>174,837785629658+119,006604362484i</v>
      </c>
      <c r="BG112" s="20">
        <f t="shared" si="147"/>
        <v>46.506068904163989</v>
      </c>
      <c r="BH112" s="43">
        <f t="shared" si="148"/>
        <v>34.241892299733607</v>
      </c>
      <c r="BI112" s="41" t="str">
        <f t="shared" si="101"/>
        <v>550,411107644975+379,04811050809i</v>
      </c>
      <c r="BJ112" s="20">
        <f t="shared" si="149"/>
        <v>56.499477525766729</v>
      </c>
      <c r="BK112" s="43">
        <f t="shared" si="102"/>
        <v>34.553771011297016</v>
      </c>
      <c r="BL112">
        <f t="shared" si="150"/>
        <v>46.506068904163989</v>
      </c>
      <c r="BM112" s="43">
        <f t="shared" si="151"/>
        <v>34.241892299733607</v>
      </c>
    </row>
    <row r="113" spans="14:65" x14ac:dyDescent="0.25">
      <c r="N113" s="9">
        <v>95</v>
      </c>
      <c r="O113" s="34">
        <f t="shared" si="116"/>
        <v>89.125093813374562</v>
      </c>
      <c r="P113" s="33" t="str">
        <f t="shared" si="103"/>
        <v>54,631621870174</v>
      </c>
      <c r="Q113" s="4" t="str">
        <f t="shared" si="104"/>
        <v>1+2,2319081499716i</v>
      </c>
      <c r="R113" s="4">
        <f t="shared" si="117"/>
        <v>2.4456929467759543</v>
      </c>
      <c r="S113" s="4">
        <f t="shared" si="118"/>
        <v>1.1495676105520629</v>
      </c>
      <c r="T113" s="4" t="str">
        <f t="shared" si="105"/>
        <v>1+0,0279994739974598i</v>
      </c>
      <c r="U113" s="4">
        <f t="shared" si="119"/>
        <v>1.0003919084759405</v>
      </c>
      <c r="V113" s="4">
        <f t="shared" si="120"/>
        <v>2.7992160516328878E-2</v>
      </c>
      <c r="W113" t="str">
        <f t="shared" si="106"/>
        <v>1-0,00222838788921932i</v>
      </c>
      <c r="X113" s="4">
        <f t="shared" si="121"/>
        <v>1.0000024828532101</v>
      </c>
      <c r="Y113" s="4">
        <f t="shared" si="122"/>
        <v>-2.2283842007190481E-3</v>
      </c>
      <c r="Z113" t="str">
        <f t="shared" si="107"/>
        <v>0,999999968226871+0,000306162472682505i</v>
      </c>
      <c r="AA113" s="4">
        <f t="shared" si="123"/>
        <v>1.0000000150946011</v>
      </c>
      <c r="AB113" s="4">
        <f t="shared" si="124"/>
        <v>3.0616247284415133E-4</v>
      </c>
      <c r="AC113" s="47" t="str">
        <f t="shared" si="125"/>
        <v>9,65331345639491-20,1541200288868i</v>
      </c>
      <c r="AD113" s="20">
        <f t="shared" si="126"/>
        <v>26.984268095520498</v>
      </c>
      <c r="AE113" s="43">
        <f t="shared" si="127"/>
        <v>-64.406758519907598</v>
      </c>
      <c r="AF113" t="str">
        <f t="shared" si="108"/>
        <v>171,265703090588</v>
      </c>
      <c r="AG113" t="str">
        <f t="shared" si="109"/>
        <v>1+2,21054875005987i</v>
      </c>
      <c r="AH113">
        <f t="shared" si="128"/>
        <v>2.4262163498730387</v>
      </c>
      <c r="AI113">
        <f t="shared" si="129"/>
        <v>1.1459679750300877</v>
      </c>
      <c r="AJ113" t="str">
        <f t="shared" si="110"/>
        <v>1+0,0279994739974598i</v>
      </c>
      <c r="AK113">
        <f t="shared" si="130"/>
        <v>1.0003919084759405</v>
      </c>
      <c r="AL113">
        <f t="shared" si="131"/>
        <v>2.7992160516328878E-2</v>
      </c>
      <c r="AM113" t="str">
        <f t="shared" si="111"/>
        <v>1-0,000704024714455629i</v>
      </c>
      <c r="AN113">
        <f t="shared" si="132"/>
        <v>1.0000002478253687</v>
      </c>
      <c r="AO113">
        <f t="shared" si="133"/>
        <v>-7.0402459813885966E-4</v>
      </c>
      <c r="AP113" s="41" t="str">
        <f t="shared" si="134"/>
        <v>30,8506073951388-63,5219973032846i</v>
      </c>
      <c r="AQ113">
        <f t="shared" si="135"/>
        <v>36.978223094411732</v>
      </c>
      <c r="AR113" s="43">
        <f t="shared" si="136"/>
        <v>-64.095633407485678</v>
      </c>
      <c r="AS113" t="str">
        <f t="shared" si="112"/>
        <v>-0,0000166666666666667</v>
      </c>
      <c r="AT113" t="str">
        <f t="shared" si="113"/>
        <v>1,85580513655164E-06i</v>
      </c>
      <c r="AU113">
        <f t="shared" si="137"/>
        <v>1.85580513655164E-6</v>
      </c>
      <c r="AV113">
        <f t="shared" si="138"/>
        <v>1.5707963267948966</v>
      </c>
      <c r="AW113" t="str">
        <f t="shared" si="114"/>
        <v>1+0,000624538659593311i</v>
      </c>
      <c r="AX113">
        <f t="shared" si="139"/>
        <v>1.0000001950242496</v>
      </c>
      <c r="AY113">
        <f t="shared" si="140"/>
        <v>6.2453857839319977E-4</v>
      </c>
      <c r="AZ113" t="str">
        <f t="shared" si="115"/>
        <v>1+0,147837222706588i</v>
      </c>
      <c r="BA113">
        <f t="shared" si="141"/>
        <v>1.0108688561913446</v>
      </c>
      <c r="BB113">
        <f t="shared" si="142"/>
        <v>0.14677409383539594</v>
      </c>
      <c r="BC113" s="41" t="str">
        <f t="shared" si="143"/>
        <v>-1,32209127391169+8,9816536614294i</v>
      </c>
      <c r="BD113">
        <f t="shared" si="144"/>
        <v>19.160222181403682</v>
      </c>
      <c r="BE113" s="43">
        <f t="shared" si="145"/>
        <v>98.373752693940247</v>
      </c>
      <c r="BF113" s="41" t="str">
        <f t="shared" si="146"/>
        <v>168,254764465305+113,348304374115i</v>
      </c>
      <c r="BG113" s="20">
        <f t="shared" si="147"/>
        <v>46.144490276924188</v>
      </c>
      <c r="BH113" s="43">
        <f t="shared" si="148"/>
        <v>33.966994174032585</v>
      </c>
      <c r="BI113" s="41" t="str">
        <f t="shared" si="101"/>
        <v>529,745260828366+361,071349203984i</v>
      </c>
      <c r="BJ113" s="20">
        <f t="shared" si="149"/>
        <v>56.138445275815414</v>
      </c>
      <c r="BK113" s="43">
        <f t="shared" si="102"/>
        <v>34.278119286454597</v>
      </c>
      <c r="BL113">
        <f t="shared" si="150"/>
        <v>46.144490276924188</v>
      </c>
      <c r="BM113" s="43">
        <f t="shared" si="151"/>
        <v>33.966994174032585</v>
      </c>
    </row>
    <row r="114" spans="14:65" x14ac:dyDescent="0.25">
      <c r="N114" s="9">
        <v>96</v>
      </c>
      <c r="O114" s="34">
        <f t="shared" si="116"/>
        <v>91.201083935590972</v>
      </c>
      <c r="P114" s="33" t="str">
        <f t="shared" si="103"/>
        <v>54,631621870174</v>
      </c>
      <c r="Q114" s="4" t="str">
        <f t="shared" si="104"/>
        <v>1+2,28389596928024i</v>
      </c>
      <c r="R114" s="4">
        <f t="shared" si="117"/>
        <v>2.4932269849523379</v>
      </c>
      <c r="S114" s="4">
        <f t="shared" si="118"/>
        <v>1.1580935670540946</v>
      </c>
      <c r="T114" s="4" t="str">
        <f t="shared" si="105"/>
        <v>1+0,0286516655291479i</v>
      </c>
      <c r="U114" s="4">
        <f t="shared" si="119"/>
        <v>1.0004103747650732</v>
      </c>
      <c r="V114" s="4">
        <f t="shared" si="120"/>
        <v>2.8643829166534032E-2</v>
      </c>
      <c r="W114" t="str">
        <f t="shared" si="106"/>
        <v>1-0,00228029371112143i</v>
      </c>
      <c r="X114" s="4">
        <f t="shared" si="121"/>
        <v>1.0000025998663249</v>
      </c>
      <c r="Y114" s="4">
        <f t="shared" si="122"/>
        <v>-2.280289758822736E-3</v>
      </c>
      <c r="Z114" t="str">
        <f t="shared" si="107"/>
        <v>0,999999966729449+0,000313293912795355i</v>
      </c>
      <c r="AA114" s="4">
        <f t="shared" si="123"/>
        <v>1.0000000158059874</v>
      </c>
      <c r="AB114" s="4">
        <f t="shared" si="124"/>
        <v>3.1329391296856232E-4</v>
      </c>
      <c r="AC114" s="47" t="str">
        <f t="shared" si="125"/>
        <v>9,31230624271298-19,8447448448335i</v>
      </c>
      <c r="AD114" s="20">
        <f t="shared" si="126"/>
        <v>26.817231684139454</v>
      </c>
      <c r="AE114" s="43">
        <f t="shared" si="127"/>
        <v>-64.861304551322007</v>
      </c>
      <c r="AF114" t="str">
        <f t="shared" si="108"/>
        <v>171,265703090588</v>
      </c>
      <c r="AG114" t="str">
        <f t="shared" si="109"/>
        <v>1+2,26203904503124i</v>
      </c>
      <c r="AH114">
        <f t="shared" si="128"/>
        <v>2.4732207020898569</v>
      </c>
      <c r="AI114">
        <f t="shared" si="129"/>
        <v>1.1545489831202003</v>
      </c>
      <c r="AJ114" t="str">
        <f t="shared" si="110"/>
        <v>1+0,0286516655291479i</v>
      </c>
      <c r="AK114">
        <f t="shared" si="130"/>
        <v>1.0004103747650732</v>
      </c>
      <c r="AL114">
        <f t="shared" si="131"/>
        <v>2.8643829166534032E-2</v>
      </c>
      <c r="AM114" t="str">
        <f t="shared" si="111"/>
        <v>1-0,000720423556694904i</v>
      </c>
      <c r="AN114">
        <f t="shared" si="132"/>
        <v>1.0000002595050168</v>
      </c>
      <c r="AO114">
        <f t="shared" si="133"/>
        <v>-7.2042343205924188E-4</v>
      </c>
      <c r="AP114" s="41" t="str">
        <f t="shared" si="134"/>
        <v>29,7687447784828-62,5543992158924i</v>
      </c>
      <c r="AQ114">
        <f t="shared" si="135"/>
        <v>36.811716566449789</v>
      </c>
      <c r="AR114" s="43">
        <f t="shared" si="136"/>
        <v>-64.550890675691576</v>
      </c>
      <c r="AS114" t="str">
        <f t="shared" si="112"/>
        <v>-0,0000166666666666667</v>
      </c>
      <c r="AT114" t="str">
        <f t="shared" si="113"/>
        <v>1,89903239127192E-06i</v>
      </c>
      <c r="AU114">
        <f t="shared" si="137"/>
        <v>1.89903239127192E-6</v>
      </c>
      <c r="AV114">
        <f t="shared" si="138"/>
        <v>1.5707963267948966</v>
      </c>
      <c r="AW114" t="str">
        <f t="shared" si="114"/>
        <v>1+0,00063908603377025i</v>
      </c>
      <c r="AX114">
        <f t="shared" si="139"/>
        <v>1.0000002042154585</v>
      </c>
      <c r="AY114">
        <f t="shared" si="140"/>
        <v>6.3908594676276417E-4</v>
      </c>
      <c r="AZ114" t="str">
        <f t="shared" si="115"/>
        <v>1+0,151280793993901i</v>
      </c>
      <c r="BA114">
        <f t="shared" si="141"/>
        <v>1.0113782075126125</v>
      </c>
      <c r="BB114">
        <f t="shared" si="142"/>
        <v>0.15014232190706439</v>
      </c>
      <c r="BC114" s="41" t="str">
        <f t="shared" si="143"/>
        <v>-1,32209124960847+8,77724429178468i</v>
      </c>
      <c r="BD114">
        <f t="shared" si="144"/>
        <v>18.964597600030455</v>
      </c>
      <c r="BE114" s="43">
        <f t="shared" si="145"/>
        <v>98.56590444407378</v>
      </c>
      <c r="BF114" s="41" t="str">
        <f t="shared" si="146"/>
        <v>161,870454814073+107,97295032227i</v>
      </c>
      <c r="BG114" s="20">
        <f t="shared" si="147"/>
        <v>45.781829284169895</v>
      </c>
      <c r="BH114" s="43">
        <f t="shared" si="148"/>
        <v>33.704599892751673</v>
      </c>
      <c r="BI114" s="41" t="str">
        <f t="shared" ref="BI114:BI177" si="152">IMPRODUCT(AP114,BC114)</f>
        <v>509,698246460252+343,990169008379i</v>
      </c>
      <c r="BJ114" s="20">
        <f t="shared" si="149"/>
        <v>55.776314166480248</v>
      </c>
      <c r="BK114" s="43">
        <f t="shared" ref="BK114:BK177" si="153">(180/PI())*IMARGUMENT(BI114)</f>
        <v>34.015013768382161</v>
      </c>
      <c r="BL114">
        <f t="shared" si="150"/>
        <v>45.781829284169895</v>
      </c>
      <c r="BM114" s="43">
        <f t="shared" si="151"/>
        <v>33.704599892751673</v>
      </c>
    </row>
    <row r="115" spans="14:65" x14ac:dyDescent="0.25">
      <c r="N115" s="9">
        <v>97</v>
      </c>
      <c r="O115" s="34">
        <f t="shared" si="116"/>
        <v>93.325430079699174</v>
      </c>
      <c r="P115" s="33" t="str">
        <f t="shared" si="103"/>
        <v>54,631621870174</v>
      </c>
      <c r="Q115" s="4" t="str">
        <f t="shared" si="104"/>
        <v>1+2,33709474046274i</v>
      </c>
      <c r="R115" s="4">
        <f t="shared" si="117"/>
        <v>2.5420487457754626</v>
      </c>
      <c r="S115" s="4">
        <f t="shared" si="118"/>
        <v>1.1664874132593808</v>
      </c>
      <c r="T115" s="4" t="str">
        <f t="shared" si="105"/>
        <v>1+0,0293190485531491i</v>
      </c>
      <c r="U115" s="4">
        <f t="shared" si="119"/>
        <v>1.0004297109782685</v>
      </c>
      <c r="V115" s="4">
        <f t="shared" si="120"/>
        <v>2.9310651934104575E-2</v>
      </c>
      <c r="W115" t="str">
        <f t="shared" si="106"/>
        <v>1-0,00233340857493244i</v>
      </c>
      <c r="X115" s="4">
        <f t="shared" si="121"/>
        <v>1.0000027223940831</v>
      </c>
      <c r="Y115" s="4">
        <f t="shared" si="122"/>
        <v>-2.3334043399687119E-3</v>
      </c>
      <c r="Z115" t="str">
        <f t="shared" si="107"/>
        <v>0,999999965161456+0,000320591465487705i</v>
      </c>
      <c r="AA115" s="4">
        <f t="shared" si="123"/>
        <v>1.0000000165509004</v>
      </c>
      <c r="AB115" s="4">
        <f t="shared" si="124"/>
        <v>3.2059146567330006E-4</v>
      </c>
      <c r="AC115" s="47" t="str">
        <f t="shared" si="125"/>
        <v>8,98178476762891-19,5345283906996i</v>
      </c>
      <c r="AD115" s="20">
        <f t="shared" si="126"/>
        <v>26.648959513860163</v>
      </c>
      <c r="AE115" s="43">
        <f t="shared" si="127"/>
        <v>-65.307491742802782</v>
      </c>
      <c r="AF115" t="str">
        <f t="shared" si="108"/>
        <v>171,265703090588</v>
      </c>
      <c r="AG115" t="str">
        <f t="shared" si="109"/>
        <v>1+2,31472870304593i</v>
      </c>
      <c r="AH115">
        <f t="shared" si="128"/>
        <v>2.5215013322829503</v>
      </c>
      <c r="AI115">
        <f t="shared" si="129"/>
        <v>1.1629980446306256</v>
      </c>
      <c r="AJ115" t="str">
        <f t="shared" si="110"/>
        <v>1+0,0293190485531491i</v>
      </c>
      <c r="AK115">
        <f t="shared" si="130"/>
        <v>1.0004297109782685</v>
      </c>
      <c r="AL115">
        <f t="shared" si="131"/>
        <v>2.9310651934104575E-2</v>
      </c>
      <c r="AM115" t="str">
        <f t="shared" si="111"/>
        <v>1-0,000737204377039873i</v>
      </c>
      <c r="AN115">
        <f t="shared" si="132"/>
        <v>1.0000002717351097</v>
      </c>
      <c r="AO115">
        <f t="shared" si="133"/>
        <v>-7.3720424349035688E-4</v>
      </c>
      <c r="AP115" s="41" t="str">
        <f t="shared" si="134"/>
        <v>28,7198962811569-61,583678632049i</v>
      </c>
      <c r="AQ115">
        <f t="shared" si="135"/>
        <v>36.643957977182978</v>
      </c>
      <c r="AR115" s="43">
        <f t="shared" si="136"/>
        <v>-64.997741580492189</v>
      </c>
      <c r="AS115" t="str">
        <f t="shared" si="112"/>
        <v>-0,0000166666666666667</v>
      </c>
      <c r="AT115" t="str">
        <f t="shared" si="113"/>
        <v>1,94326653810272E-06i</v>
      </c>
      <c r="AU115">
        <f t="shared" si="137"/>
        <v>1.9432665381027202E-6</v>
      </c>
      <c r="AV115">
        <f t="shared" si="138"/>
        <v>1.5707963267948966</v>
      </c>
      <c r="AW115" t="str">
        <f t="shared" si="114"/>
        <v>1+0,0006539722598216i</v>
      </c>
      <c r="AX115">
        <f t="shared" si="139"/>
        <v>1.0000002138398354</v>
      </c>
      <c r="AY115">
        <f t="shared" si="140"/>
        <v>6.5397216659140024E-4</v>
      </c>
      <c r="AZ115" t="str">
        <f t="shared" si="115"/>
        <v>1+0,154804576360627i</v>
      </c>
      <c r="BA115">
        <f t="shared" si="141"/>
        <v>1.0119112890279431</v>
      </c>
      <c r="BB115">
        <f t="shared" si="142"/>
        <v>0.153585455737971</v>
      </c>
      <c r="BC115" s="41" t="str">
        <f t="shared" si="143"/>
        <v>-1,32209122415986+8,57748873324258i</v>
      </c>
      <c r="BD115">
        <f t="shared" si="144"/>
        <v>18.769174505861873</v>
      </c>
      <c r="BE115" s="43">
        <f t="shared" si="145"/>
        <v>98.762328563314327</v>
      </c>
      <c r="BF115" s="41" t="str">
        <f t="shared" si="146"/>
        <v>155,682458361858+102,867586202192i</v>
      </c>
      <c r="BG115" s="20">
        <f t="shared" si="147"/>
        <v>45.418134019722018</v>
      </c>
      <c r="BH115" s="43">
        <f t="shared" si="148"/>
        <v>33.454836820511503</v>
      </c>
      <c r="BI115" s="41" t="str">
        <f t="shared" si="152"/>
        <v>490,262986785933+327,763827842432i</v>
      </c>
      <c r="BJ115" s="20">
        <f t="shared" si="149"/>
        <v>55.413132483044841</v>
      </c>
      <c r="BK115" s="43">
        <f t="shared" si="153"/>
        <v>33.764586982822181</v>
      </c>
      <c r="BL115">
        <f t="shared" si="150"/>
        <v>45.418134019722018</v>
      </c>
      <c r="BM115" s="43">
        <f t="shared" si="151"/>
        <v>33.454836820511503</v>
      </c>
    </row>
    <row r="116" spans="14:65" x14ac:dyDescent="0.25">
      <c r="N116" s="9">
        <v>98</v>
      </c>
      <c r="O116" s="34">
        <f t="shared" si="116"/>
        <v>95.499258602143655</v>
      </c>
      <c r="P116" s="33" t="str">
        <f t="shared" si="103"/>
        <v>54,631621870174</v>
      </c>
      <c r="Q116" s="4" t="str">
        <f t="shared" si="104"/>
        <v>1+2,39153267021172i</v>
      </c>
      <c r="R116" s="4">
        <f t="shared" si="117"/>
        <v>2.5921860490115289</v>
      </c>
      <c r="S116" s="4">
        <f t="shared" si="118"/>
        <v>1.1747488674272548</v>
      </c>
      <c r="T116" s="4" t="str">
        <f t="shared" si="105"/>
        <v>1+0,0300019769247766i</v>
      </c>
      <c r="U116" s="4">
        <f t="shared" si="119"/>
        <v>1.0004499580785613</v>
      </c>
      <c r="V116" s="4">
        <f t="shared" si="120"/>
        <v>2.9992980003905031E-2</v>
      </c>
      <c r="W116" t="str">
        <f t="shared" si="106"/>
        <v>1-0,00238776064285619i</v>
      </c>
      <c r="X116" s="4">
        <f t="shared" si="121"/>
        <v>1.0000028506963805</v>
      </c>
      <c r="Y116" s="4">
        <f t="shared" si="122"/>
        <v>-2.3877561050114973E-3</v>
      </c>
      <c r="Z116" t="str">
        <f t="shared" si="107"/>
        <v>0,999999963519566+0,000328059000018586i</v>
      </c>
      <c r="AA116" s="4">
        <f t="shared" si="123"/>
        <v>1.0000000173309203</v>
      </c>
      <c r="AB116" s="4">
        <f t="shared" si="124"/>
        <v>3.2805900021745465E-4</v>
      </c>
      <c r="AC116" s="47" t="str">
        <f t="shared" si="125"/>
        <v>8,66160713838043-19,2238308116818i</v>
      </c>
      <c r="AD116" s="20">
        <f t="shared" si="126"/>
        <v>26.479490514113021</v>
      </c>
      <c r="AE116" s="43">
        <f t="shared" si="127"/>
        <v>-65.745285665578592</v>
      </c>
      <c r="AF116" t="str">
        <f t="shared" si="108"/>
        <v>171,265703090588</v>
      </c>
      <c r="AG116" t="str">
        <f t="shared" si="109"/>
        <v>1+2,36864566085801i</v>
      </c>
      <c r="AH116">
        <f t="shared" si="128"/>
        <v>2.571085814729154</v>
      </c>
      <c r="AI116">
        <f t="shared" si="129"/>
        <v>1.1713148131157771</v>
      </c>
      <c r="AJ116" t="str">
        <f t="shared" si="110"/>
        <v>1+0,0300019769247766i</v>
      </c>
      <c r="AK116">
        <f t="shared" si="130"/>
        <v>1.0004499580785613</v>
      </c>
      <c r="AL116">
        <f t="shared" si="131"/>
        <v>2.9992980003905031E-2</v>
      </c>
      <c r="AM116" t="str">
        <f t="shared" si="111"/>
        <v>1-0,000754376072903601i</v>
      </c>
      <c r="AN116">
        <f t="shared" si="132"/>
        <v>1.0000002845415892</v>
      </c>
      <c r="AO116">
        <f t="shared" si="133"/>
        <v>-7.5437592980271838E-4</v>
      </c>
      <c r="AP116" s="41" t="str">
        <f t="shared" si="134"/>
        <v>27,7036350411093-60,6109840065086i</v>
      </c>
      <c r="AQ116">
        <f t="shared" si="135"/>
        <v>36.47498646916312</v>
      </c>
      <c r="AR116" s="43">
        <f t="shared" si="136"/>
        <v>-65.436146660388744</v>
      </c>
      <c r="AS116" t="str">
        <f t="shared" si="112"/>
        <v>-0,0000166666666666667</v>
      </c>
      <c r="AT116" t="str">
        <f t="shared" si="113"/>
        <v>0,0000019885310305742i</v>
      </c>
      <c r="AU116">
        <f t="shared" si="137"/>
        <v>1.9885310305742E-6</v>
      </c>
      <c r="AV116">
        <f t="shared" si="138"/>
        <v>1.5707963267948966</v>
      </c>
      <c r="AW116" t="str">
        <f t="shared" si="114"/>
        <v>1+0,000669205230621451i</v>
      </c>
      <c r="AX116">
        <f t="shared" si="139"/>
        <v>1.0000002239177954</v>
      </c>
      <c r="AY116">
        <f t="shared" si="140"/>
        <v>6.6920513072349342E-4</v>
      </c>
      <c r="AZ116" t="str">
        <f t="shared" si="115"/>
        <v>1+0,158410438162821i</v>
      </c>
      <c r="BA116">
        <f t="shared" si="141"/>
        <v>1.0124691930715408</v>
      </c>
      <c r="BB116">
        <f t="shared" si="142"/>
        <v>0.15710499420350732</v>
      </c>
      <c r="BC116" s="41" t="str">
        <f t="shared" si="143"/>
        <v>-1,3220911975119+8,38228107276174i</v>
      </c>
      <c r="BD116">
        <f t="shared" si="144"/>
        <v>18.573961950231862</v>
      </c>
      <c r="BE116" s="43">
        <f t="shared" si="145"/>
        <v>98.96311047866925</v>
      </c>
      <c r="BF116" s="41" t="str">
        <f t="shared" si="146"/>
        <v>149,688118604775+98,0196830743268i</v>
      </c>
      <c r="BG116" s="20">
        <f t="shared" si="147"/>
        <v>45.053452464344865</v>
      </c>
      <c r="BH116" s="43">
        <f t="shared" si="148"/>
        <v>33.217824813090701</v>
      </c>
      <c r="BI116" s="41" t="str">
        <f t="shared" si="152"/>
        <v>471,431572012289+312,352904079329i</v>
      </c>
      <c r="BJ116" s="20">
        <f t="shared" si="149"/>
        <v>55.048948419394989</v>
      </c>
      <c r="BK116" s="43">
        <f t="shared" si="153"/>
        <v>33.526963818280507</v>
      </c>
      <c r="BL116">
        <f t="shared" si="150"/>
        <v>45.053452464344865</v>
      </c>
      <c r="BM116" s="43">
        <f t="shared" si="151"/>
        <v>33.217824813090701</v>
      </c>
    </row>
    <row r="117" spans="14:65" x14ac:dyDescent="0.25">
      <c r="N117" s="9">
        <v>99</v>
      </c>
      <c r="O117" s="34">
        <f t="shared" si="116"/>
        <v>97.723722095581124</v>
      </c>
      <c r="P117" s="33" t="str">
        <f t="shared" si="103"/>
        <v>54,631621870174</v>
      </c>
      <c r="Q117" s="4" t="str">
        <f t="shared" si="104"/>
        <v>1+2,44723862223813i</v>
      </c>
      <c r="R117" s="4">
        <f t="shared" si="117"/>
        <v>2.6436673153356458</v>
      </c>
      <c r="S117" s="4">
        <f t="shared" si="118"/>
        <v>1.1828777979774128</v>
      </c>
      <c r="T117" s="4" t="str">
        <f t="shared" si="105"/>
        <v>1+0,0307008127416928i</v>
      </c>
      <c r="U117" s="4">
        <f t="shared" si="119"/>
        <v>1.0004711589561193</v>
      </c>
      <c r="V117" s="4">
        <f t="shared" si="120"/>
        <v>3.069117261247517E-2</v>
      </c>
      <c r="W117" t="str">
        <f t="shared" si="106"/>
        <v>1-0,00244337873307852i</v>
      </c>
      <c r="X117" s="4">
        <f t="shared" si="121"/>
        <v>1.0000029850453613</v>
      </c>
      <c r="Y117" s="4">
        <f t="shared" si="122"/>
        <v>-2.4433738706911112E-3</v>
      </c>
      <c r="Z117" t="str">
        <f t="shared" si="107"/>
        <v>0,999999961800297+0,00033570047577365i</v>
      </c>
      <c r="AA117" s="4">
        <f t="shared" si="123"/>
        <v>1.0000000181477022</v>
      </c>
      <c r="AB117" s="4">
        <f t="shared" si="124"/>
        <v>3.3570047598674132E-4</v>
      </c>
      <c r="AC117" s="47" t="str">
        <f t="shared" si="125"/>
        <v>8,35161895966271-18,9129963780541i</v>
      </c>
      <c r="AD117" s="20">
        <f t="shared" si="126"/>
        <v>26.308863082117291</v>
      </c>
      <c r="AE117" s="43">
        <f t="shared" si="127"/>
        <v>-66.174660075849573</v>
      </c>
      <c r="AF117" t="str">
        <f t="shared" si="108"/>
        <v>171,265703090588</v>
      </c>
      <c r="AG117" t="str">
        <f t="shared" si="109"/>
        <v>1+2,42381850595222i</v>
      </c>
      <c r="AH117">
        <f t="shared" si="128"/>
        <v>2.6220023168937989</v>
      </c>
      <c r="AI117">
        <f t="shared" si="129"/>
        <v>1.1794990951085615</v>
      </c>
      <c r="AJ117" t="str">
        <f t="shared" si="110"/>
        <v>1+0,0307008127416928i</v>
      </c>
      <c r="AK117">
        <f t="shared" si="130"/>
        <v>1.0004711589561193</v>
      </c>
      <c r="AL117">
        <f t="shared" si="131"/>
        <v>3.069117261247517E-2</v>
      </c>
      <c r="AM117" t="str">
        <f t="shared" si="111"/>
        <v>1-0,000771947748946529i</v>
      </c>
      <c r="AN117">
        <f t="shared" si="132"/>
        <v>1.0000002979516192</v>
      </c>
      <c r="AO117">
        <f t="shared" si="133"/>
        <v>-7.7194759561117316E-4</v>
      </c>
      <c r="AP117" s="41" t="str">
        <f t="shared" si="134"/>
        <v>26,7194933646482-59,6374143812158i</v>
      </c>
      <c r="AQ117">
        <f t="shared" si="135"/>
        <v>36.30484067238384</v>
      </c>
      <c r="AR117" s="43">
        <f t="shared" si="136"/>
        <v>-65.8660747694517</v>
      </c>
      <c r="AS117" t="str">
        <f t="shared" si="112"/>
        <v>-0,0000166666666666667</v>
      </c>
      <c r="AT117" t="str">
        <f t="shared" si="113"/>
        <v>0,0000020348498685194i</v>
      </c>
      <c r="AU117">
        <f t="shared" si="137"/>
        <v>2.0348498685193998E-6</v>
      </c>
      <c r="AV117">
        <f t="shared" si="138"/>
        <v>1.5707963267948966</v>
      </c>
      <c r="AW117" t="str">
        <f t="shared" si="114"/>
        <v>1+0,000684793022892556i</v>
      </c>
      <c r="AX117">
        <f t="shared" si="139"/>
        <v>1.0000002344707146</v>
      </c>
      <c r="AY117">
        <f t="shared" si="140"/>
        <v>6.8479291584996719E-4</v>
      </c>
      <c r="AZ117" t="str">
        <f t="shared" si="115"/>
        <v>1+0,162100291276138i</v>
      </c>
      <c r="BA117">
        <f t="shared" si="141"/>
        <v>1.0130530610149739</v>
      </c>
      <c r="BB117">
        <f t="shared" si="142"/>
        <v>0.16070245445436473</v>
      </c>
      <c r="BC117" s="41" t="str">
        <f t="shared" si="143"/>
        <v>-1,32209116960807+8,19151780865665i</v>
      </c>
      <c r="BD117">
        <f t="shared" si="144"/>
        <v>18.378969369744485</v>
      </c>
      <c r="BE117" s="43">
        <f t="shared" si="145"/>
        <v>99.168336653709801</v>
      </c>
      <c r="BF117" s="41" t="str">
        <f t="shared" si="146"/>
        <v>143,884544967387+93,4171409414464i</v>
      </c>
      <c r="BG117" s="20">
        <f t="shared" si="147"/>
        <v>44.687832451861766</v>
      </c>
      <c r="BH117" s="43">
        <f t="shared" si="148"/>
        <v>32.993676577860334</v>
      </c>
      <c r="BI117" s="41" t="str">
        <f t="shared" si="152"/>
        <v>453,195335732163+297,719304666462i</v>
      </c>
      <c r="BJ117" s="20">
        <f t="shared" si="149"/>
        <v>54.683810042128336</v>
      </c>
      <c r="BK117" s="43">
        <f t="shared" si="153"/>
        <v>33.302261884258115</v>
      </c>
      <c r="BL117">
        <f t="shared" si="150"/>
        <v>44.687832451861766</v>
      </c>
      <c r="BM117" s="43">
        <f t="shared" si="151"/>
        <v>32.993676577860334</v>
      </c>
    </row>
    <row r="118" spans="14:65" x14ac:dyDescent="0.25">
      <c r="N118" s="9">
        <v>100</v>
      </c>
      <c r="O118" s="34">
        <f t="shared" si="116"/>
        <v>100</v>
      </c>
      <c r="P118" s="33" t="str">
        <f t="shared" si="103"/>
        <v>54,631621870174</v>
      </c>
      <c r="Q118" s="4" t="str">
        <f t="shared" si="104"/>
        <v>1+2,50424213257509i</v>
      </c>
      <c r="R118" s="4">
        <f t="shared" si="117"/>
        <v>2.6965215850358466</v>
      </c>
      <c r="S118" s="4">
        <f t="shared" si="118"/>
        <v>1.1908742166821458</v>
      </c>
      <c r="T118" s="4" t="str">
        <f t="shared" si="105"/>
        <v>1+0,0314159265358979i</v>
      </c>
      <c r="U118" s="4">
        <f t="shared" si="119"/>
        <v>1.0004933585187405</v>
      </c>
      <c r="V118" s="4">
        <f t="shared" si="120"/>
        <v>3.1405597226420098E-2</v>
      </c>
      <c r="W118" t="str">
        <f t="shared" si="106"/>
        <v>1-0,00250029233504708i</v>
      </c>
      <c r="X118" s="4">
        <f t="shared" si="121"/>
        <v>1.0000031257259954</v>
      </c>
      <c r="Y118" s="4">
        <f t="shared" si="122"/>
        <v>-2.5002871249059813E-3</v>
      </c>
      <c r="Z118" t="str">
        <f t="shared" si="107"/>
        <v>0,99999996+0,000343519944364491i</v>
      </c>
      <c r="AA118" s="4">
        <f t="shared" si="123"/>
        <v>1.0000000190029767</v>
      </c>
      <c r="AB118" s="4">
        <f t="shared" si="124"/>
        <v>3.4351994459282261E-4</v>
      </c>
      <c r="AC118" s="47" t="str">
        <f t="shared" si="125"/>
        <v>8,05165459004163-18,6023533158786i</v>
      </c>
      <c r="AD118" s="20">
        <f t="shared" si="126"/>
        <v>26.137115039704941</v>
      </c>
      <c r="AE118" s="43">
        <f t="shared" si="127"/>
        <v>-66.595596515505008</v>
      </c>
      <c r="AF118" t="str">
        <f t="shared" si="108"/>
        <v>171,265703090588</v>
      </c>
      <c r="AG118" t="str">
        <f t="shared" si="109"/>
        <v>1+2,48027649170131i</v>
      </c>
      <c r="AH118">
        <f t="shared" si="128"/>
        <v>2.6742796180067181</v>
      </c>
      <c r="AI118">
        <f t="shared" si="129"/>
        <v>1.1875508433461854</v>
      </c>
      <c r="AJ118" t="str">
        <f t="shared" si="110"/>
        <v>1+0,0314159265358979i</v>
      </c>
      <c r="AK118">
        <f t="shared" si="130"/>
        <v>1.0004933585187405</v>
      </c>
      <c r="AL118">
        <f t="shared" si="131"/>
        <v>3.1405597226420098E-2</v>
      </c>
      <c r="AM118" t="str">
        <f t="shared" si="111"/>
        <v>1-0,000789928721903887i</v>
      </c>
      <c r="AN118">
        <f t="shared" si="132"/>
        <v>1.0000003119936443</v>
      </c>
      <c r="AO118">
        <f t="shared" si="133"/>
        <v>-7.8992855760209586E-4</v>
      </c>
      <c r="AP118" s="41" t="str">
        <f t="shared" si="134"/>
        <v>25,7669667054583-58,664018733534i</v>
      </c>
      <c r="AQ118">
        <f t="shared" si="135"/>
        <v>36.13355865914609</v>
      </c>
      <c r="AR118" s="43">
        <f t="shared" si="136"/>
        <v>-66.287502679243801</v>
      </c>
      <c r="AS118" t="str">
        <f t="shared" si="112"/>
        <v>-0,0000166666666666667</v>
      </c>
      <c r="AT118" t="str">
        <f t="shared" si="113"/>
        <v>2,08224761079932E-06i</v>
      </c>
      <c r="AU118">
        <f t="shared" si="137"/>
        <v>2.0822476107993199E-6</v>
      </c>
      <c r="AV118">
        <f t="shared" si="138"/>
        <v>1.5707963267948966</v>
      </c>
      <c r="AW118" t="str">
        <f t="shared" si="114"/>
        <v>1+0,000700743901488707i</v>
      </c>
      <c r="AX118">
        <f t="shared" si="139"/>
        <v>1.0000002455209775</v>
      </c>
      <c r="AY118">
        <f t="shared" si="140"/>
        <v>7.0074378679050827E-4</v>
      </c>
      <c r="AZ118" t="str">
        <f t="shared" si="115"/>
        <v>1+0,165876092109541i</v>
      </c>
      <c r="BA118">
        <f t="shared" si="141"/>
        <v>1.0136640853525063</v>
      </c>
      <c r="BB118">
        <f t="shared" si="142"/>
        <v>0.16437937126313773</v>
      </c>
      <c r="BC118" s="41" t="str">
        <f t="shared" si="143"/>
        <v>-1,32209114038916+8,00509779571942i</v>
      </c>
      <c r="BD118">
        <f t="shared" si="144"/>
        <v>18.184206600671114</v>
      </c>
      <c r="BE118" s="43">
        <f t="shared" si="145"/>
        <v>99.378094550888719</v>
      </c>
      <c r="BF118" s="41" t="str">
        <f t="shared" si="146"/>
        <v>138,268636325166+89,0482889199484i</v>
      </c>
      <c r="BG118" s="20">
        <f t="shared" si="147"/>
        <v>44.321321640376055</v>
      </c>
      <c r="BH118" s="43">
        <f t="shared" si="148"/>
        <v>32.782498035383689</v>
      </c>
      <c r="BI118" s="41" t="str">
        <f t="shared" si="152"/>
        <v>435,544928655867+283,826267803469i</v>
      </c>
      <c r="BJ118" s="20">
        <f t="shared" si="149"/>
        <v>54.317765259817193</v>
      </c>
      <c r="BK118" s="43">
        <f t="shared" si="153"/>
        <v>33.090591871644925</v>
      </c>
      <c r="BL118">
        <f t="shared" si="150"/>
        <v>44.321321640376055</v>
      </c>
      <c r="BM118" s="43">
        <f t="shared" si="151"/>
        <v>32.782498035383689</v>
      </c>
    </row>
    <row r="119" spans="14:65" x14ac:dyDescent="0.25">
      <c r="N119" s="9">
        <v>1</v>
      </c>
      <c r="O119" s="34">
        <f>10^(2+(N119/100))</f>
        <v>102.32929922807544</v>
      </c>
      <c r="P119" s="33" t="str">
        <f t="shared" si="103"/>
        <v>54,631621870174</v>
      </c>
      <c r="Q119" s="4" t="str">
        <f t="shared" si="104"/>
        <v>1+2,5625734252383i</v>
      </c>
      <c r="R119" s="4">
        <f t="shared" si="117"/>
        <v>2.7507785370213926</v>
      </c>
      <c r="S119" s="4">
        <f t="shared" si="118"/>
        <v>1.1987382718054382</v>
      </c>
      <c r="T119" s="4" t="str">
        <f t="shared" si="105"/>
        <v>1+0,0321476974701913i</v>
      </c>
      <c r="U119" s="4">
        <f t="shared" si="119"/>
        <v>1.0005166037865814</v>
      </c>
      <c r="V119" s="4">
        <f t="shared" si="120"/>
        <v>3.2136629724305213E-2</v>
      </c>
      <c r="W119" t="str">
        <f t="shared" si="106"/>
        <v>1-0,00255853162510696i</v>
      </c>
      <c r="X119" s="4">
        <f t="shared" si="121"/>
        <v>1.0000032730366819</v>
      </c>
      <c r="Y119" s="4">
        <f t="shared" si="122"/>
        <v>-2.5585260423411768E-3</v>
      </c>
      <c r="Z119" t="str">
        <f t="shared" si="107"/>
        <v>0,999999958114858+0,000351521551776859i</v>
      </c>
      <c r="AA119" s="4">
        <f t="shared" si="123"/>
        <v>1.0000000198985592</v>
      </c>
      <c r="AB119" s="4">
        <f t="shared" si="124"/>
        <v>3.5152155202152076E-4</v>
      </c>
      <c r="AC119" s="47" t="str">
        <f t="shared" si="125"/>
        <v>7,76153836082836-18,2922137258573i</v>
      </c>
      <c r="AD119" s="20">
        <f t="shared" si="126"/>
        <v>25.964283594764911</v>
      </c>
      <c r="AE119" s="43">
        <f t="shared" si="127"/>
        <v>-67.008083909619586</v>
      </c>
      <c r="AF119" t="str">
        <f t="shared" si="108"/>
        <v>171,265703090588</v>
      </c>
      <c r="AG119" t="str">
        <f t="shared" si="109"/>
        <v>1+2,53804955287665i</v>
      </c>
      <c r="AH119">
        <f t="shared" si="128"/>
        <v>2.7279471279438985</v>
      </c>
      <c r="AI119">
        <f t="shared" si="129"/>
        <v>1.1954701499269014</v>
      </c>
      <c r="AJ119" t="str">
        <f t="shared" si="110"/>
        <v>1+0,0321476974701913i</v>
      </c>
      <c r="AK119">
        <f t="shared" si="130"/>
        <v>1.0005166037865814</v>
      </c>
      <c r="AL119">
        <f t="shared" si="131"/>
        <v>3.2136629724305213E-2</v>
      </c>
      <c r="AM119" t="str">
        <f t="shared" si="111"/>
        <v>1-0,00080832852552554i</v>
      </c>
      <c r="AN119">
        <f t="shared" si="132"/>
        <v>1.0000003266974493</v>
      </c>
      <c r="AO119">
        <f t="shared" si="133"/>
        <v>-8.0832834947300205E-4</v>
      </c>
      <c r="AP119" s="41" t="str">
        <f t="shared" si="134"/>
        <v>24,8455175331835-57,6917956093617i</v>
      </c>
      <c r="AQ119">
        <f t="shared" si="135"/>
        <v>35.961177903599882</v>
      </c>
      <c r="AR119" s="43">
        <f t="shared" si="136"/>
        <v>-66.700414676591393</v>
      </c>
      <c r="AS119" t="str">
        <f t="shared" si="112"/>
        <v>-0,0000166666666666667</v>
      </c>
      <c r="AT119" t="str">
        <f t="shared" si="113"/>
        <v>2,13074938832428E-06i</v>
      </c>
      <c r="AU119">
        <f t="shared" si="137"/>
        <v>2.13074938832428E-6</v>
      </c>
      <c r="AV119">
        <f t="shared" si="138"/>
        <v>1.5707963267948966</v>
      </c>
      <c r="AW119" t="str">
        <f t="shared" si="114"/>
        <v>1+0,000717066323776869i</v>
      </c>
      <c r="AX119">
        <f t="shared" si="139"/>
        <v>1.0000002570920232</v>
      </c>
      <c r="AY119">
        <f t="shared" si="140"/>
        <v>7.170662008755364E-4</v>
      </c>
      <c r="AZ119" t="str">
        <f t="shared" si="115"/>
        <v>1+0,16973984264261i</v>
      </c>
      <c r="BA119">
        <f t="shared" si="141"/>
        <v>1.0143035118643424</v>
      </c>
      <c r="BB119">
        <f t="shared" si="142"/>
        <v>0.16813729629121793</v>
      </c>
      <c r="BC119" s="41" t="str">
        <f t="shared" si="143"/>
        <v>-1,32209110979322+7,82292219159158i</v>
      </c>
      <c r="BD119">
        <f t="shared" si="144"/>
        <v>17.989683893695833</v>
      </c>
      <c r="BE119" s="43">
        <f t="shared" si="145"/>
        <v>99.592472589285791</v>
      </c>
      <c r="BF119" s="41" t="str">
        <f t="shared" si="146"/>
        <v>132,837103824175+84,901883829207i</v>
      </c>
      <c r="BG119" s="20">
        <f t="shared" si="147"/>
        <v>43.953967488460748</v>
      </c>
      <c r="BH119" s="43">
        <f t="shared" si="148"/>
        <v>32.584388679666212</v>
      </c>
      <c r="BI119" s="41" t="str">
        <f t="shared" si="152"/>
        <v>418,470390296408+270,638360555064i</v>
      </c>
      <c r="BJ119" s="20">
        <f t="shared" si="149"/>
        <v>53.950861797295715</v>
      </c>
      <c r="BK119" s="43">
        <f t="shared" si="153"/>
        <v>32.892057912694455</v>
      </c>
      <c r="BL119">
        <f t="shared" si="150"/>
        <v>43.953967488460748</v>
      </c>
      <c r="BM119" s="43">
        <f t="shared" si="151"/>
        <v>32.584388679666212</v>
      </c>
    </row>
    <row r="120" spans="14:65" x14ac:dyDescent="0.25">
      <c r="N120" s="9">
        <v>2</v>
      </c>
      <c r="O120" s="34">
        <f t="shared" ref="O120:O183" si="154">10^(2+(N120/100))</f>
        <v>104.71285480508998</v>
      </c>
      <c r="P120" s="33" t="str">
        <f t="shared" si="103"/>
        <v>54,631621870174</v>
      </c>
      <c r="Q120" s="4" t="str">
        <f t="shared" si="104"/>
        <v>1+2,62226342825124i</v>
      </c>
      <c r="R120" s="4">
        <f t="shared" si="117"/>
        <v>2.8064685081332987</v>
      </c>
      <c r="S120" s="4">
        <f t="shared" si="118"/>
        <v>1.2064702412250401</v>
      </c>
      <c r="T120" s="4" t="str">
        <f t="shared" si="105"/>
        <v>1+0,0328965135392085i</v>
      </c>
      <c r="U120" s="4">
        <f t="shared" si="119"/>
        <v>1.0005409439913167</v>
      </c>
      <c r="V120" s="4">
        <f t="shared" si="120"/>
        <v>3.2884654582090174E-2</v>
      </c>
      <c r="W120" t="str">
        <f t="shared" si="106"/>
        <v>1-0,00261812748250064i</v>
      </c>
      <c r="X120" s="4">
        <f t="shared" si="121"/>
        <v>1.0000034272898841</v>
      </c>
      <c r="Y120" s="4">
        <f t="shared" si="122"/>
        <v>-2.6181215004604341E-3</v>
      </c>
      <c r="Z120" t="str">
        <f t="shared" si="107"/>
        <v>0,999999956140872+0,000359709540568916i</v>
      </c>
      <c r="AA120" s="4">
        <f t="shared" si="123"/>
        <v>1.0000000208363495</v>
      </c>
      <c r="AB120" s="4">
        <f t="shared" si="124"/>
        <v>3.5970954083107583E-4</v>
      </c>
      <c r="AC120" s="47" t="str">
        <f t="shared" si="125"/>
        <v>7,48108575257127-17,9828735834887i</v>
      </c>
      <c r="AD120" s="20">
        <f t="shared" si="126"/>
        <v>25.790405307162953</v>
      </c>
      <c r="AE120" s="43">
        <f t="shared" si="127"/>
        <v>-67.412118162794897</v>
      </c>
      <c r="AF120" t="str">
        <f t="shared" si="108"/>
        <v>171,265703090588</v>
      </c>
      <c r="AG120" t="str">
        <f t="shared" si="109"/>
        <v>1+2,59716832151998i</v>
      </c>
      <c r="AH120">
        <f t="shared" si="128"/>
        <v>2.7830349064118671</v>
      </c>
      <c r="AI120">
        <f t="shared" si="129"/>
        <v>1.2032572394349714</v>
      </c>
      <c r="AJ120" t="str">
        <f t="shared" si="110"/>
        <v>1+0,0328965135392085i</v>
      </c>
      <c r="AK120">
        <f t="shared" si="130"/>
        <v>1.0005409439913167</v>
      </c>
      <c r="AL120">
        <f t="shared" si="131"/>
        <v>3.2884654582090174E-2</v>
      </c>
      <c r="AM120" t="str">
        <f t="shared" si="111"/>
        <v>1-0,00082715691563092i</v>
      </c>
      <c r="AN120">
        <f t="shared" si="132"/>
        <v>1.0000003420942229</v>
      </c>
      <c r="AO120">
        <f t="shared" si="133"/>
        <v>-8.271567269872303E-4</v>
      </c>
      <c r="AP120" s="41" t="str">
        <f t="shared" si="134"/>
        <v>23,9545790752835-56,721693019872i</v>
      </c>
      <c r="AQ120">
        <f t="shared" si="135"/>
        <v>35.787735245825438</v>
      </c>
      <c r="AR120" s="43">
        <f t="shared" si="136"/>
        <v>-67.104802159339172</v>
      </c>
      <c r="AS120" t="str">
        <f t="shared" si="112"/>
        <v>-0,0000166666666666667</v>
      </c>
      <c r="AT120" t="str">
        <f t="shared" si="113"/>
        <v>2,18038091737874E-06i</v>
      </c>
      <c r="AU120">
        <f t="shared" si="137"/>
        <v>2.1803809173787398E-6</v>
      </c>
      <c r="AV120">
        <f t="shared" si="138"/>
        <v>1.5707963267948966</v>
      </c>
      <c r="AW120" t="str">
        <f t="shared" si="114"/>
        <v>1+0,000733768944121393i</v>
      </c>
      <c r="AX120">
        <f t="shared" si="139"/>
        <v>1.0000002692083954</v>
      </c>
      <c r="AY120">
        <f t="shared" si="140"/>
        <v>7.3376881243024448E-4</v>
      </c>
      <c r="AZ120" t="str">
        <f t="shared" si="115"/>
        <v>1+0,173693591487021i</v>
      </c>
      <c r="BA120">
        <f t="shared" si="141"/>
        <v>1.0149726418597005</v>
      </c>
      <c r="BB120">
        <f t="shared" si="142"/>
        <v>0.17197779727093992</v>
      </c>
      <c r="BC120" s="41" t="str">
        <f t="shared" si="143"/>
        <v>-1,32209107775533+7,64489440435625i</v>
      </c>
      <c r="BD120">
        <f t="shared" si="144"/>
        <v>17.795411928996693</v>
      </c>
      <c r="BE120" s="43">
        <f t="shared" si="145"/>
        <v>99.811560097490755</v>
      </c>
      <c r="BF120" s="41" t="str">
        <f t="shared" si="146"/>
        <v>127,586492907262+80,9671073254738i</v>
      </c>
      <c r="BG120" s="20">
        <f t="shared" si="147"/>
        <v>43.585817236159663</v>
      </c>
      <c r="BH120" s="43">
        <f t="shared" si="148"/>
        <v>32.399441934695794</v>
      </c>
      <c r="BI120" s="41" t="str">
        <f t="shared" si="152"/>
        <v>401,961218306416+258,121471788094i</v>
      </c>
      <c r="BJ120" s="20">
        <f t="shared" si="149"/>
        <v>53.583147174822145</v>
      </c>
      <c r="BK120" s="43">
        <f t="shared" si="153"/>
        <v>32.70675793815159</v>
      </c>
      <c r="BL120">
        <f t="shared" si="150"/>
        <v>43.585817236159663</v>
      </c>
      <c r="BM120" s="43">
        <f t="shared" si="151"/>
        <v>32.399441934695794</v>
      </c>
    </row>
    <row r="121" spans="14:65" x14ac:dyDescent="0.25">
      <c r="N121" s="9">
        <v>3</v>
      </c>
      <c r="O121" s="34">
        <f t="shared" si="154"/>
        <v>107.15193052376065</v>
      </c>
      <c r="P121" s="33" t="str">
        <f t="shared" si="103"/>
        <v>54,631621870174</v>
      </c>
      <c r="Q121" s="4" t="str">
        <f t="shared" si="104"/>
        <v>1+2,6833437900436i</v>
      </c>
      <c r="R121" s="4">
        <f t="shared" si="117"/>
        <v>2.8636225127564479</v>
      </c>
      <c r="S121" s="4">
        <f t="shared" si="118"/>
        <v>1.2140705255707034</v>
      </c>
      <c r="T121" s="4" t="str">
        <f t="shared" si="105"/>
        <v>1+0,033662771775141i</v>
      </c>
      <c r="U121" s="4">
        <f t="shared" si="119"/>
        <v>1.0005664306799349</v>
      </c>
      <c r="V121" s="4">
        <f t="shared" si="120"/>
        <v>3.3650065062135769E-2</v>
      </c>
      <c r="W121" t="str">
        <f t="shared" si="106"/>
        <v>1-0,00267911150574056i</v>
      </c>
      <c r="X121" s="4">
        <f t="shared" si="121"/>
        <v>1.0000035888127903</v>
      </c>
      <c r="Y121" s="4">
        <f t="shared" si="122"/>
        <v>-2.6791050958702373E-3</v>
      </c>
      <c r="Z121" t="str">
        <f t="shared" si="107"/>
        <v>0,999999954073855+0,000368088252120701i</v>
      </c>
      <c r="AA121" s="4">
        <f t="shared" si="123"/>
        <v>1.0000000218183365</v>
      </c>
      <c r="AB121" s="4">
        <f t="shared" si="124"/>
        <v>3.6808825240161028E-4</v>
      </c>
      <c r="AC121" s="47" t="str">
        <f t="shared" si="125"/>
        <v>7,21010452514876-17,6746128136403i</v>
      </c>
      <c r="AD121" s="20">
        <f t="shared" si="126"/>
        <v>25.615516058972467</v>
      </c>
      <c r="AE121" s="43">
        <f t="shared" si="127"/>
        <v>-67.80770175624626</v>
      </c>
      <c r="AF121" t="str">
        <f t="shared" si="108"/>
        <v>171,265703090588</v>
      </c>
      <c r="AG121" t="str">
        <f t="shared" si="109"/>
        <v>1+2,65766414318496i</v>
      </c>
      <c r="AH121">
        <f t="shared" si="128"/>
        <v>2.8395736824338695</v>
      </c>
      <c r="AI121">
        <f t="shared" si="129"/>
        <v>1.21091246206831</v>
      </c>
      <c r="AJ121" t="str">
        <f t="shared" si="110"/>
        <v>1+0,033662771775141i</v>
      </c>
      <c r="AK121">
        <f t="shared" si="130"/>
        <v>1.0005664306799349</v>
      </c>
      <c r="AL121">
        <f t="shared" si="131"/>
        <v>3.3650065062135769E-2</v>
      </c>
      <c r="AM121" t="str">
        <f t="shared" si="111"/>
        <v>1-0,000846423875281683i</v>
      </c>
      <c r="AN121">
        <f t="shared" si="132"/>
        <v>1.0000003582166241</v>
      </c>
      <c r="AO121">
        <f t="shared" si="133"/>
        <v>-8.4642367314633155E-4</v>
      </c>
      <c r="AP121" s="41" t="str">
        <f t="shared" si="134"/>
        <v>23,0935589185141-55,7546085803294i</v>
      </c>
      <c r="AQ121">
        <f t="shared" si="135"/>
        <v>35.613266860295973</v>
      </c>
      <c r="AR121" s="43">
        <f t="shared" si="136"/>
        <v>-67.500663232059779</v>
      </c>
      <c r="AS121" t="str">
        <f t="shared" si="112"/>
        <v>-0,0000166666666666667</v>
      </c>
      <c r="AT121" t="str">
        <f t="shared" si="113"/>
        <v>2,23116851325635E-06i</v>
      </c>
      <c r="AU121">
        <f t="shared" si="137"/>
        <v>2.2311685132563498E-6</v>
      </c>
      <c r="AV121">
        <f t="shared" si="138"/>
        <v>1.5707963267948966</v>
      </c>
      <c r="AW121" t="str">
        <f t="shared" si="114"/>
        <v>1+0,000750860618472669i</v>
      </c>
      <c r="AX121">
        <f t="shared" si="139"/>
        <v>1.0000002818957945</v>
      </c>
      <c r="AY121">
        <f t="shared" si="140"/>
        <v>7.5086047736306314E-4</v>
      </c>
      <c r="AZ121" t="str">
        <f t="shared" si="115"/>
        <v>1+0,177739434972745i</v>
      </c>
      <c r="BA121">
        <f t="shared" si="141"/>
        <v>1.0156728345015587</v>
      </c>
      <c r="BB121">
        <f t="shared" si="142"/>
        <v>0.17590245709771421</v>
      </c>
      <c r="BC121" s="41" t="str">
        <f t="shared" si="143"/>
        <v>-1,32209104420755+7,47092004132403i</v>
      </c>
      <c r="BD121">
        <f t="shared" si="144"/>
        <v>17.601401831650293</v>
      </c>
      <c r="BE121" s="43">
        <f t="shared" si="145"/>
        <v>100.03544726132399</v>
      </c>
      <c r="BF121" s="41" t="str">
        <f t="shared" si="146"/>
        <v>122,513204471568+77,2335617077248i</v>
      </c>
      <c r="BG121" s="20">
        <f t="shared" si="147"/>
        <v>43.216917890622746</v>
      </c>
      <c r="BH121" s="43">
        <f t="shared" si="148"/>
        <v>32.227745505077792</v>
      </c>
      <c r="BI121" s="41" t="str">
        <f t="shared" si="152"/>
        <v>386,006435213913+246,242800827175i</v>
      </c>
      <c r="BJ121" s="20">
        <f t="shared" si="149"/>
        <v>53.214668691946265</v>
      </c>
      <c r="BK121" s="43">
        <f t="shared" si="153"/>
        <v>32.534784029264173</v>
      </c>
      <c r="BL121">
        <f t="shared" si="150"/>
        <v>43.216917890622746</v>
      </c>
      <c r="BM121" s="43">
        <f t="shared" si="151"/>
        <v>32.227745505077792</v>
      </c>
    </row>
    <row r="122" spans="14:65" x14ac:dyDescent="0.25">
      <c r="N122" s="9">
        <v>4</v>
      </c>
      <c r="O122" s="34">
        <f t="shared" si="154"/>
        <v>109.64781961431861</v>
      </c>
      <c r="P122" s="33" t="str">
        <f t="shared" si="103"/>
        <v>54,631621870174</v>
      </c>
      <c r="Q122" s="4" t="str">
        <f t="shared" si="104"/>
        <v>1+2,7458468962317i</v>
      </c>
      <c r="R122" s="4">
        <f t="shared" si="117"/>
        <v>2.9222722627341313</v>
      </c>
      <c r="S122" s="4">
        <f t="shared" si="118"/>
        <v>1.2215396414088544</v>
      </c>
      <c r="T122" s="4" t="str">
        <f t="shared" si="105"/>
        <v>1+0,0344468784582482i</v>
      </c>
      <c r="U122" s="4">
        <f t="shared" si="119"/>
        <v>1.0005931178233824</v>
      </c>
      <c r="V122" s="4">
        <f t="shared" si="120"/>
        <v>3.4433263405814131E-2</v>
      </c>
      <c r="W122" t="str">
        <f t="shared" si="106"/>
        <v>1-0,00274151602936305i</v>
      </c>
      <c r="X122" s="4">
        <f t="shared" si="121"/>
        <v>1.0000037579480086</v>
      </c>
      <c r="Y122" s="4">
        <f t="shared" si="122"/>
        <v>-2.7415091610646491E-3</v>
      </c>
      <c r="Z122" t="str">
        <f t="shared" si="107"/>
        <v>0,999999951909423+0,000376662128935985i</v>
      </c>
      <c r="AA122" s="4">
        <f t="shared" si="123"/>
        <v>1.0000000228466035</v>
      </c>
      <c r="AB122" s="4">
        <f t="shared" si="124"/>
        <v>3.766621292369845E-4</v>
      </c>
      <c r="AC122" s="47" t="str">
        <f t="shared" si="125"/>
        <v>6,94839579823385-17,3676954326889i</v>
      </c>
      <c r="AD122" s="20">
        <f t="shared" si="126"/>
        <v>25.439651028841745</v>
      </c>
      <c r="AE122" s="43">
        <f t="shared" si="127"/>
        <v>-68.194843347369101</v>
      </c>
      <c r="AF122" t="str">
        <f t="shared" si="108"/>
        <v>171,265703090588</v>
      </c>
      <c r="AG122" t="str">
        <f t="shared" si="109"/>
        <v>1+2,719569093557i</v>
      </c>
      <c r="AH122">
        <f t="shared" si="128"/>
        <v>2.897594874137936</v>
      </c>
      <c r="AI122">
        <f t="shared" si="129"/>
        <v>1.2184362868002725</v>
      </c>
      <c r="AJ122" t="str">
        <f t="shared" si="110"/>
        <v>1+0,0344468784582482i</v>
      </c>
      <c r="AK122">
        <f t="shared" si="130"/>
        <v>1.0005931178233824</v>
      </c>
      <c r="AL122">
        <f t="shared" si="131"/>
        <v>3.4433263405814131E-2</v>
      </c>
      <c r="AM122" t="str">
        <f t="shared" si="111"/>
        <v>1-0,000866139620074865i</v>
      </c>
      <c r="AN122">
        <f t="shared" si="132"/>
        <v>1.0000003750988504</v>
      </c>
      <c r="AO122">
        <f t="shared" si="133"/>
        <v>-8.6613940348293796E-4</v>
      </c>
      <c r="AP122" s="41" t="str">
        <f t="shared" si="134"/>
        <v>22,2618424589073-54,7913898694582i</v>
      </c>
      <c r="AQ122">
        <f t="shared" si="135"/>
        <v>35.437808228552051</v>
      </c>
      <c r="AR122" s="43">
        <f t="shared" si="136"/>
        <v>-67.888002303521333</v>
      </c>
      <c r="AS122" t="str">
        <f t="shared" si="112"/>
        <v>-0,0000166666666666667</v>
      </c>
      <c r="AT122" t="str">
        <f t="shared" si="113"/>
        <v>2,28313910421269E-06i</v>
      </c>
      <c r="AU122">
        <f t="shared" si="137"/>
        <v>2.2831391042126902E-6</v>
      </c>
      <c r="AV122">
        <f t="shared" si="138"/>
        <v>1.5707963267948966</v>
      </c>
      <c r="AW122" t="str">
        <f t="shared" si="114"/>
        <v>1+0,000768350409062675i</v>
      </c>
      <c r="AX122">
        <f t="shared" si="139"/>
        <v>1.000000295181132</v>
      </c>
      <c r="AY122">
        <f t="shared" si="140"/>
        <v>7.6835025786101054E-4</v>
      </c>
      <c r="AZ122" t="str">
        <f t="shared" si="115"/>
        <v>1+0,18187951825955i</v>
      </c>
      <c r="BA122">
        <f t="shared" si="141"/>
        <v>1.0164055092148636</v>
      </c>
      <c r="BB122">
        <f t="shared" si="142"/>
        <v>0.17991287282670831</v>
      </c>
      <c r="BC122" s="41" t="str">
        <f t="shared" si="143"/>
        <v>-1,3220910090787+7,30090685898467i</v>
      </c>
      <c r="BD122">
        <f t="shared" si="144"/>
        <v>17.407665187342293</v>
      </c>
      <c r="BE122" s="43">
        <f t="shared" si="145"/>
        <v>100.26422506608107</v>
      </c>
      <c r="BF122" s="41" t="str">
        <f t="shared" si="146"/>
        <v>117,61351509691+73,691264522241i</v>
      </c>
      <c r="BG122" s="20">
        <f t="shared" si="147"/>
        <v>42.847316216184048</v>
      </c>
      <c r="BH122" s="43">
        <f t="shared" si="148"/>
        <v>32.069381718711959</v>
      </c>
      <c r="BI122" s="41" t="str">
        <f t="shared" si="152"/>
        <v>370,594652350783+234,970842223209i</v>
      </c>
      <c r="BJ122" s="20">
        <f t="shared" si="149"/>
        <v>52.845473415894347</v>
      </c>
      <c r="BK122" s="43">
        <f t="shared" si="153"/>
        <v>32.376222762559728</v>
      </c>
      <c r="BL122">
        <f t="shared" si="150"/>
        <v>42.847316216184048</v>
      </c>
      <c r="BM122" s="43">
        <f t="shared" si="151"/>
        <v>32.069381718711959</v>
      </c>
    </row>
    <row r="123" spans="14:65" x14ac:dyDescent="0.25">
      <c r="N123" s="9">
        <v>5</v>
      </c>
      <c r="O123" s="34">
        <f t="shared" si="154"/>
        <v>112.20184543019634</v>
      </c>
      <c r="P123" s="33" t="str">
        <f t="shared" si="103"/>
        <v>54,631621870174</v>
      </c>
      <c r="Q123" s="4" t="str">
        <f t="shared" si="104"/>
        <v>1+2,80980588678976i</v>
      </c>
      <c r="R123" s="4">
        <f t="shared" si="117"/>
        <v>2.9824501875871103</v>
      </c>
      <c r="S123" s="4">
        <f t="shared" si="118"/>
        <v>1.2288782145010619</v>
      </c>
      <c r="T123" s="4" t="str">
        <f t="shared" si="105"/>
        <v>1+0,0352492493322722i</v>
      </c>
      <c r="U123" s="4">
        <f t="shared" si="119"/>
        <v>1.0006210619302838</v>
      </c>
      <c r="V123" s="4">
        <f t="shared" si="120"/>
        <v>3.5234661029748898E-2</v>
      </c>
      <c r="W123" t="str">
        <f t="shared" si="106"/>
        <v>1-0,00280537414107257i</v>
      </c>
      <c r="X123" s="4">
        <f t="shared" si="121"/>
        <v>1.0000039350542933</v>
      </c>
      <c r="Y123" s="4">
        <f t="shared" si="122"/>
        <v>-2.8053667815598031E-3</v>
      </c>
      <c r="Z123" t="str">
        <f t="shared" si="107"/>
        <v>0,999999949642984+0,000385435716997743i</v>
      </c>
      <c r="AA123" s="4">
        <f t="shared" si="123"/>
        <v>1.0000000239233311</v>
      </c>
      <c r="AB123" s="4">
        <f t="shared" si="124"/>
        <v>3.8543571732026975E-4</v>
      </c>
      <c r="AC123" s="47" t="str">
        <f t="shared" si="125"/>
        <v>6,69575507963407-17,0623697514788i</v>
      </c>
      <c r="AD123" s="20">
        <f t="shared" si="126"/>
        <v>25.262844670309658</v>
      </c>
      <c r="AE123" s="43">
        <f t="shared" si="127"/>
        <v>-68.573557373350027</v>
      </c>
      <c r="AF123" t="str">
        <f t="shared" si="108"/>
        <v>171,265703090588</v>
      </c>
      <c r="AG123" t="str">
        <f t="shared" si="109"/>
        <v>1+2,78291599546021i</v>
      </c>
      <c r="AH123">
        <f t="shared" si="128"/>
        <v>2.9571306088484302</v>
      </c>
      <c r="AI123">
        <f t="shared" si="129"/>
        <v>1.2258292946041591</v>
      </c>
      <c r="AJ123" t="str">
        <f t="shared" si="110"/>
        <v>1+0,0352492493322722i</v>
      </c>
      <c r="AK123">
        <f t="shared" si="130"/>
        <v>1.0006210619302838</v>
      </c>
      <c r="AL123">
        <f t="shared" si="131"/>
        <v>3.5234661029748898E-2</v>
      </c>
      <c r="AM123" t="str">
        <f t="shared" si="111"/>
        <v>1-0,000886314603559325i</v>
      </c>
      <c r="AN123">
        <f t="shared" si="132"/>
        <v>1.0000003927767112</v>
      </c>
      <c r="AO123">
        <f t="shared" si="133"/>
        <v>-8.8631437147689885E-4</v>
      </c>
      <c r="AP123" s="41" t="str">
        <f t="shared" si="134"/>
        <v>21,4587961914948-53,8328349880625i</v>
      </c>
      <c r="AQ123">
        <f t="shared" si="135"/>
        <v>35.261394115904025</v>
      </c>
      <c r="AR123" s="43">
        <f t="shared" si="136"/>
        <v>-68.266829687545851</v>
      </c>
      <c r="AS123" t="str">
        <f t="shared" si="112"/>
        <v>-0,0000166666666666667</v>
      </c>
      <c r="AT123" t="str">
        <f t="shared" si="113"/>
        <v>0,000002336320245743i</v>
      </c>
      <c r="AU123">
        <f t="shared" si="137"/>
        <v>2.336320245743E-6</v>
      </c>
      <c r="AV123">
        <f t="shared" si="138"/>
        <v>1.5707963267948966</v>
      </c>
      <c r="AW123" t="str">
        <f t="shared" si="114"/>
        <v>1+0,000786247589209887i</v>
      </c>
      <c r="AX123">
        <f t="shared" si="139"/>
        <v>1.000000309092588</v>
      </c>
      <c r="AY123">
        <f t="shared" si="140"/>
        <v>7.862474271943873E-4</v>
      </c>
      <c r="AZ123" t="str">
        <f t="shared" si="115"/>
        <v>1+0,186116036474397i</v>
      </c>
      <c r="BA123">
        <f t="shared" si="141"/>
        <v>1.017172148179913</v>
      </c>
      <c r="BB123">
        <f t="shared" si="142"/>
        <v>0.18401065456844631</v>
      </c>
      <c r="BC123" s="41" t="str">
        <f t="shared" si="143"/>
        <v>-1,32209097229429+7,13476471409833i</v>
      </c>
      <c r="BD123">
        <f t="shared" si="144"/>
        <v>17.214214058364679</v>
      </c>
      <c r="BE123" s="43">
        <f t="shared" si="145"/>
        <v>100.49798523298037</v>
      </c>
      <c r="BF123" s="41" t="str">
        <f t="shared" si="146"/>
        <v>112,883596298272+70,3306420907951i</v>
      </c>
      <c r="BG123" s="20">
        <f t="shared" si="147"/>
        <v>42.477058728674351</v>
      </c>
      <c r="BH123" s="43">
        <f t="shared" si="148"/>
        <v>31.92442785963031</v>
      </c>
      <c r="BI123" s="41" t="str">
        <f t="shared" si="152"/>
        <v>355,714130811628+224,27536702483i</v>
      </c>
      <c r="BJ123" s="20">
        <f t="shared" si="149"/>
        <v>52.4756081742687</v>
      </c>
      <c r="BK123" s="43">
        <f t="shared" si="153"/>
        <v>32.231155545434476</v>
      </c>
      <c r="BL123">
        <f t="shared" si="150"/>
        <v>42.477058728674351</v>
      </c>
      <c r="BM123" s="43">
        <f t="shared" si="151"/>
        <v>31.92442785963031</v>
      </c>
    </row>
    <row r="124" spans="14:65" x14ac:dyDescent="0.25">
      <c r="N124" s="9">
        <v>6</v>
      </c>
      <c r="O124" s="34">
        <f t="shared" si="154"/>
        <v>114.81536214968835</v>
      </c>
      <c r="P124" s="33" t="str">
        <f t="shared" si="103"/>
        <v>54,631621870174</v>
      </c>
      <c r="Q124" s="4" t="str">
        <f t="shared" si="104"/>
        <v>1+2,87525467362117i</v>
      </c>
      <c r="R124" s="4">
        <f t="shared" si="117"/>
        <v>3.0441894550405992</v>
      </c>
      <c r="S124" s="4">
        <f t="shared" si="118"/>
        <v>1.2360869731608255</v>
      </c>
      <c r="T124" s="4" t="str">
        <f t="shared" si="105"/>
        <v>1+0,0360703098248712i</v>
      </c>
      <c r="U124" s="4">
        <f t="shared" si="119"/>
        <v>1.0006503221659713</v>
      </c>
      <c r="V124" s="4">
        <f t="shared" si="120"/>
        <v>3.6054678725710873E-2</v>
      </c>
      <c r="W124" t="str">
        <f t="shared" si="106"/>
        <v>1-0,0028707196992852i</v>
      </c>
      <c r="X124" s="4">
        <f t="shared" si="121"/>
        <v>1.0000041205073067</v>
      </c>
      <c r="Y124" s="4">
        <f t="shared" si="122"/>
        <v>-2.8707118134269479E-3</v>
      </c>
      <c r="Z124" t="str">
        <f t="shared" si="107"/>
        <v>0,99999994726973+0,000394413668178499i</v>
      </c>
      <c r="AA124" s="4">
        <f t="shared" si="123"/>
        <v>1.0000000250508019</v>
      </c>
      <c r="AB124" s="4">
        <f t="shared" si="124"/>
        <v>3.9441366852409305E-4</v>
      </c>
      <c r="AC124" s="47" t="str">
        <f t="shared" si="125"/>
        <v>6,45197323969098-16,758868632517i</v>
      </c>
      <c r="AD124" s="20">
        <f t="shared" si="126"/>
        <v>25.085130693875893</v>
      </c>
      <c r="AE124" s="43">
        <f t="shared" si="127"/>
        <v>-68.94386366022907</v>
      </c>
      <c r="AF124" t="str">
        <f t="shared" si="108"/>
        <v>171,265703090588</v>
      </c>
      <c r="AG124" t="str">
        <f t="shared" si="109"/>
        <v>1+2,84773843626045i</v>
      </c>
      <c r="AH124">
        <f t="shared" si="128"/>
        <v>3.0182137434839031</v>
      </c>
      <c r="AI124">
        <f t="shared" si="129"/>
        <v>1.2330921717661361</v>
      </c>
      <c r="AJ124" t="str">
        <f t="shared" si="110"/>
        <v>1+0,0360703098248712i</v>
      </c>
      <c r="AK124">
        <f t="shared" si="130"/>
        <v>1.0006503221659713</v>
      </c>
      <c r="AL124">
        <f t="shared" si="131"/>
        <v>3.6054678725710873E-2</v>
      </c>
      <c r="AM124" t="str">
        <f t="shared" si="111"/>
        <v>1-0,000906959522778351i</v>
      </c>
      <c r="AN124">
        <f t="shared" si="132"/>
        <v>1.0000004112877035</v>
      </c>
      <c r="AO124">
        <f t="shared" si="133"/>
        <v>-9.0695927409755654E-4</v>
      </c>
      <c r="AP124" s="41" t="str">
        <f t="shared" si="134"/>
        <v>20,6837708332201-52,879693296055i</v>
      </c>
      <c r="AQ124">
        <f t="shared" si="135"/>
        <v>35.084058551972298</v>
      </c>
      <c r="AR124" s="43">
        <f t="shared" si="136"/>
        <v>-68.637161208733005</v>
      </c>
      <c r="AS124" t="str">
        <f t="shared" si="112"/>
        <v>-0,0000166666666666667</v>
      </c>
      <c r="AT124" t="str">
        <f t="shared" si="113"/>
        <v>2,39074013519247E-06i</v>
      </c>
      <c r="AU124">
        <f t="shared" si="137"/>
        <v>2.3907401351924699E-6</v>
      </c>
      <c r="AV124">
        <f t="shared" si="138"/>
        <v>1.5707963267948966</v>
      </c>
      <c r="AW124" t="str">
        <f t="shared" si="114"/>
        <v>1+0,000804561648236114i</v>
      </c>
      <c r="AX124">
        <f t="shared" si="139"/>
        <v>1.0000003236596706</v>
      </c>
      <c r="AY124">
        <f t="shared" si="140"/>
        <v>8.0456147463338129E-4</v>
      </c>
      <c r="AZ124" t="str">
        <f t="shared" si="115"/>
        <v>1+0,19045123587532i</v>
      </c>
      <c r="BA124">
        <f t="shared" si="141"/>
        <v>1.01797429891252</v>
      </c>
      <c r="BB124">
        <f t="shared" si="142"/>
        <v>0.18819742427750583</v>
      </c>
      <c r="BC124" s="41" t="str">
        <f t="shared" si="143"/>
        <v>-1,32209093377629+6,97240551590043i</v>
      </c>
      <c r="BD124">
        <f t="shared" si="144"/>
        <v>17.021060999876646</v>
      </c>
      <c r="BE124" s="43">
        <f t="shared" si="145"/>
        <v>100.73682014947867</v>
      </c>
      <c r="BF124" s="41" t="str">
        <f t="shared" si="146"/>
        <v>108,31953276845+67,1425220842619i</v>
      </c>
      <c r="BG124" s="20">
        <f t="shared" si="147"/>
        <v>42.106191693752564</v>
      </c>
      <c r="BH124" s="43">
        <f t="shared" si="148"/>
        <v>31.792956489249502</v>
      </c>
      <c r="BI124" s="41" t="str">
        <f t="shared" si="152"/>
        <v>341,35283932163+214,127400934749i</v>
      </c>
      <c r="BJ124" s="20">
        <f t="shared" si="149"/>
        <v>52.105119551848929</v>
      </c>
      <c r="BK124" s="43">
        <f t="shared" si="153"/>
        <v>32.099658940745634</v>
      </c>
      <c r="BL124">
        <f t="shared" si="150"/>
        <v>42.106191693752564</v>
      </c>
      <c r="BM124" s="43">
        <f t="shared" si="151"/>
        <v>31.792956489249502</v>
      </c>
    </row>
    <row r="125" spans="14:65" x14ac:dyDescent="0.25">
      <c r="N125" s="9">
        <v>7</v>
      </c>
      <c r="O125" s="34">
        <f t="shared" si="154"/>
        <v>117.48975549395293</v>
      </c>
      <c r="P125" s="33" t="str">
        <f t="shared" si="103"/>
        <v>54,631621870174</v>
      </c>
      <c r="Q125" s="4" t="str">
        <f t="shared" si="104"/>
        <v>1+2,94222795853903i</v>
      </c>
      <c r="R125" s="4">
        <f t="shared" si="117"/>
        <v>3.1075239918637392</v>
      </c>
      <c r="S125" s="4">
        <f t="shared" si="118"/>
        <v>1.2431667417304353</v>
      </c>
      <c r="T125" s="4" t="str">
        <f t="shared" si="105"/>
        <v>1+0,0369104952731864i</v>
      </c>
      <c r="U125" s="4">
        <f t="shared" si="119"/>
        <v>1.0006809604770703</v>
      </c>
      <c r="V125" s="4">
        <f t="shared" si="120"/>
        <v>3.6893746864187671E-2</v>
      </c>
      <c r="W125" t="str">
        <f t="shared" si="106"/>
        <v>1-0,00293758735108086i</v>
      </c>
      <c r="X125" s="4">
        <f t="shared" si="121"/>
        <v>1.0000043147004143</v>
      </c>
      <c r="Y125" s="4">
        <f t="shared" si="122"/>
        <v>-2.9375789012334739E-3</v>
      </c>
      <c r="Z125" t="str">
        <f t="shared" si="107"/>
        <v>0,999999944784629+0,000403600742706804i</v>
      </c>
      <c r="AA125" s="4">
        <f t="shared" si="123"/>
        <v>1.0000000262314099</v>
      </c>
      <c r="AB125" s="4">
        <f t="shared" si="124"/>
        <v>4.036007430771146E-4</v>
      </c>
      <c r="AC125" s="47" t="str">
        <f t="shared" si="125"/>
        <v>6,21683743054716-16,4574097950365i</v>
      </c>
      <c r="AD125" s="20">
        <f t="shared" si="126"/>
        <v>24.906542052624843</v>
      </c>
      <c r="AE125" s="43">
        <f t="shared" si="127"/>
        <v>-69.30578703865605</v>
      </c>
      <c r="AF125" t="str">
        <f t="shared" si="108"/>
        <v>171,265703090588</v>
      </c>
      <c r="AG125" t="str">
        <f t="shared" si="109"/>
        <v>1+2,91407078567387i</v>
      </c>
      <c r="AH125">
        <f t="shared" si="128"/>
        <v>3.080877885265485</v>
      </c>
      <c r="AI125">
        <f t="shared" si="129"/>
        <v>1.240225703309485</v>
      </c>
      <c r="AJ125" t="str">
        <f t="shared" si="110"/>
        <v>1+0,0369104952731864i</v>
      </c>
      <c r="AK125">
        <f t="shared" si="130"/>
        <v>1.0006809604770703</v>
      </c>
      <c r="AL125">
        <f t="shared" si="131"/>
        <v>3.6893746864187671E-2</v>
      </c>
      <c r="AM125" t="str">
        <f t="shared" si="111"/>
        <v>1-0,000928085323941383i</v>
      </c>
      <c r="AN125">
        <f t="shared" si="132"/>
        <v>1.0000004306710915</v>
      </c>
      <c r="AO125">
        <f t="shared" si="133"/>
        <v>-9.2808505747511694E-4</v>
      </c>
      <c r="AP125" s="41" t="str">
        <f t="shared" si="134"/>
        <v>19,9361042745076-51,9326663076393i</v>
      </c>
      <c r="AQ125">
        <f t="shared" si="135"/>
        <v>34.905834814865145</v>
      </c>
      <c r="AR125" s="43">
        <f t="shared" si="136"/>
        <v>-68.999017814358197</v>
      </c>
      <c r="AS125" t="str">
        <f t="shared" si="112"/>
        <v>-0,0000166666666666667</v>
      </c>
      <c r="AT125" t="str">
        <f t="shared" si="113"/>
        <v>2,44642762670679E-06i</v>
      </c>
      <c r="AU125">
        <f t="shared" si="137"/>
        <v>2.4464276267067902E-6</v>
      </c>
      <c r="AV125">
        <f t="shared" si="138"/>
        <v>1.5707963267948966</v>
      </c>
      <c r="AW125" t="str">
        <f t="shared" si="114"/>
        <v>1+0,000823302296497868i</v>
      </c>
      <c r="AX125">
        <f t="shared" si="139"/>
        <v>1.0000003389132783</v>
      </c>
      <c r="AY125">
        <f t="shared" si="140"/>
        <v>8.2330211047919192E-4</v>
      </c>
      <c r="AZ125" t="str">
        <f t="shared" si="115"/>
        <v>1+0,194887415042424i</v>
      </c>
      <c r="BA125">
        <f t="shared" si="141"/>
        <v>1.0188135769324622</v>
      </c>
      <c r="BB125">
        <f t="shared" si="142"/>
        <v>0.1924748144283546</v>
      </c>
      <c r="BC125" s="41" t="str">
        <f t="shared" si="143"/>
        <v>-1,32209089344299+6,81374317939488i</v>
      </c>
      <c r="BD125">
        <f t="shared" si="144"/>
        <v>16.828219076402728</v>
      </c>
      <c r="BE125" s="43">
        <f t="shared" si="145"/>
        <v>100.98082279311373</v>
      </c>
      <c r="BF125" s="41" t="str">
        <f t="shared" si="146"/>
        <v>103,917339588495+64,1181252594747i</v>
      </c>
      <c r="BG125" s="20">
        <f t="shared" si="147"/>
        <v>41.734761129027603</v>
      </c>
      <c r="BH125" s="43">
        <f t="shared" si="148"/>
        <v>31.675035754457571</v>
      </c>
      <c r="BI125" s="41" t="str">
        <f t="shared" si="152"/>
        <v>327,498508929411+204,499199721675i</v>
      </c>
      <c r="BJ125" s="20">
        <f t="shared" si="149"/>
        <v>51.734053891267877</v>
      </c>
      <c r="BK125" s="43">
        <f t="shared" si="153"/>
        <v>31.981804978755587</v>
      </c>
      <c r="BL125">
        <f t="shared" si="150"/>
        <v>41.734761129027603</v>
      </c>
      <c r="BM125" s="43">
        <f t="shared" si="151"/>
        <v>31.675035754457571</v>
      </c>
    </row>
    <row r="126" spans="14:65" x14ac:dyDescent="0.25">
      <c r="N126" s="9">
        <v>8</v>
      </c>
      <c r="O126" s="34">
        <f t="shared" si="154"/>
        <v>120.22644346174135</v>
      </c>
      <c r="P126" s="33" t="str">
        <f t="shared" si="103"/>
        <v>54,631621870174</v>
      </c>
      <c r="Q126" s="4" t="str">
        <f t="shared" si="104"/>
        <v>1+3,0107612516655i</v>
      </c>
      <c r="R126" s="4">
        <f t="shared" si="117"/>
        <v>3.1724885050273088</v>
      </c>
      <c r="S126" s="4">
        <f t="shared" si="118"/>
        <v>1.2501184341970029</v>
      </c>
      <c r="T126" s="4" t="str">
        <f t="shared" si="105"/>
        <v>1+0,0377702511546636i</v>
      </c>
      <c r="U126" s="4">
        <f t="shared" si="119"/>
        <v>1.0007130417218946</v>
      </c>
      <c r="V126" s="4">
        <f t="shared" si="120"/>
        <v>3.7752305601645275E-2</v>
      </c>
      <c r="W126" t="str">
        <f t="shared" si="106"/>
        <v>1-0,00300601255057363i</v>
      </c>
      <c r="X126" s="4">
        <f t="shared" si="121"/>
        <v>1.0000045180455208</v>
      </c>
      <c r="Y126" s="4">
        <f t="shared" si="122"/>
        <v>-3.0060034964012384E-3</v>
      </c>
      <c r="Z126" t="str">
        <f t="shared" si="107"/>
        <v>0,999999942182409+0,000413001811691181i</v>
      </c>
      <c r="AA126" s="4">
        <f t="shared" si="123"/>
        <v>1.0000000274676584</v>
      </c>
      <c r="AB126" s="4">
        <f t="shared" si="124"/>
        <v>4.1300181208797588E-4</v>
      </c>
      <c r="AC126" s="47" t="str">
        <f t="shared" si="125"/>
        <v>5,99013194965439-16,1581961618213i</v>
      </c>
      <c r="AD126" s="20">
        <f t="shared" si="126"/>
        <v>24.727110931201437</v>
      </c>
      <c r="AE126" s="43">
        <f t="shared" si="127"/>
        <v>-69.659356967438057</v>
      </c>
      <c r="AF126" t="str">
        <f t="shared" si="108"/>
        <v>171,265703090588</v>
      </c>
      <c r="AG126" t="str">
        <f t="shared" si="109"/>
        <v>1+2,98194821399014i</v>
      </c>
      <c r="AH126">
        <f t="shared" si="128"/>
        <v>3.1451574127408923</v>
      </c>
      <c r="AI126">
        <f t="shared" si="129"/>
        <v>1.2472307665503513</v>
      </c>
      <c r="AJ126" t="str">
        <f t="shared" si="110"/>
        <v>1+0,0377702511546636i</v>
      </c>
      <c r="AK126">
        <f t="shared" si="130"/>
        <v>1.0007130417218946</v>
      </c>
      <c r="AL126">
        <f t="shared" si="131"/>
        <v>3.7752305601645275E-2</v>
      </c>
      <c r="AM126" t="str">
        <f t="shared" si="111"/>
        <v>1-0,000949703208227833i</v>
      </c>
      <c r="AN126">
        <f t="shared" si="132"/>
        <v>1.0000004509679903</v>
      </c>
      <c r="AO126">
        <f t="shared" si="133"/>
        <v>-9.497029227040917E-4</v>
      </c>
      <c r="AP126" s="41" t="str">
        <f t="shared" si="134"/>
        <v>19,2151243568148-50,9924087251751i</v>
      </c>
      <c r="AQ126">
        <f t="shared" si="135"/>
        <v>34.726755418794546</v>
      </c>
      <c r="AR126" s="43">
        <f t="shared" si="136"/>
        <v>-69.35242519360132</v>
      </c>
      <c r="AS126" t="str">
        <f t="shared" si="112"/>
        <v>-0,0000166666666666667</v>
      </c>
      <c r="AT126" t="str">
        <f t="shared" si="113"/>
        <v>0,0000025034122465311i</v>
      </c>
      <c r="AU126">
        <f t="shared" si="137"/>
        <v>2.5034122465311E-6</v>
      </c>
      <c r="AV126">
        <f t="shared" si="138"/>
        <v>1.5707963267948966</v>
      </c>
      <c r="AW126" t="str">
        <f t="shared" si="114"/>
        <v>1+0,000842479470534921i</v>
      </c>
      <c r="AX126">
        <f t="shared" si="139"/>
        <v>1.0000003548857661</v>
      </c>
      <c r="AY126">
        <f t="shared" si="140"/>
        <v>8.4247927121232217E-4</v>
      </c>
      <c r="AZ126" t="str">
        <f t="shared" si="115"/>
        <v>1+0,199426926096623i</v>
      </c>
      <c r="BA126">
        <f t="shared" si="141"/>
        <v>1.0196916685215918</v>
      </c>
      <c r="BB126">
        <f t="shared" si="142"/>
        <v>0.1968444665721911</v>
      </c>
      <c r="BC126" s="41" t="str">
        <f t="shared" si="143"/>
        <v>-1,32209085120884+6,65869357971043i</v>
      </c>
      <c r="BD126">
        <f t="shared" si="144"/>
        <v>16.635701878537063</v>
      </c>
      <c r="BE126" s="43">
        <f t="shared" si="145"/>
        <v>101.2300866485228</v>
      </c>
      <c r="BF126" s="41" t="str">
        <f t="shared" si="146"/>
        <v>99,6729783942494+61,2490564723637i</v>
      </c>
      <c r="BG126" s="20">
        <f t="shared" si="147"/>
        <v>41.3628128097385</v>
      </c>
      <c r="BH126" s="43">
        <f t="shared" si="148"/>
        <v>31.570729681084721</v>
      </c>
      <c r="BI126" s="41" t="str">
        <f t="shared" si="152"/>
        <v>314,138684475309+195,364222244716i</v>
      </c>
      <c r="BJ126" s="20">
        <f t="shared" si="149"/>
        <v>51.362457297331616</v>
      </c>
      <c r="BK126" s="43">
        <f t="shared" si="153"/>
        <v>31.877661454921448</v>
      </c>
      <c r="BL126">
        <f t="shared" si="150"/>
        <v>41.3628128097385</v>
      </c>
      <c r="BM126" s="43">
        <f t="shared" si="151"/>
        <v>31.570729681084721</v>
      </c>
    </row>
    <row r="127" spans="14:65" x14ac:dyDescent="0.25">
      <c r="N127" s="9">
        <v>9</v>
      </c>
      <c r="O127" s="34">
        <f t="shared" si="154"/>
        <v>123.02687708123821</v>
      </c>
      <c r="P127" s="33" t="str">
        <f t="shared" si="103"/>
        <v>54,631621870174</v>
      </c>
      <c r="Q127" s="4" t="str">
        <f t="shared" si="104"/>
        <v>1+3,08089089025974i</v>
      </c>
      <c r="R127" s="4">
        <f t="shared" si="117"/>
        <v>3.2391185031865461</v>
      </c>
      <c r="S127" s="4">
        <f t="shared" si="118"/>
        <v>1.2569430479642145</v>
      </c>
      <c r="T127" s="4" t="str">
        <f t="shared" si="105"/>
        <v>1+0,0386500333232513i</v>
      </c>
      <c r="U127" s="4">
        <f t="shared" si="119"/>
        <v>1.0007466338069233</v>
      </c>
      <c r="V127" s="4">
        <f t="shared" si="120"/>
        <v>3.8630805091492741E-2</v>
      </c>
      <c r="W127" t="str">
        <f t="shared" si="106"/>
        <v>1-0,00307603157770999i</v>
      </c>
      <c r="X127" s="4">
        <f t="shared" si="121"/>
        <v>1.0000047309739424</v>
      </c>
      <c r="Y127" s="4">
        <f t="shared" si="122"/>
        <v>-3.0760218759919586E-3</v>
      </c>
      <c r="Z127" t="str">
        <f t="shared" si="107"/>
        <v>0,99999993945755+0,000422621859702841i</v>
      </c>
      <c r="AA127" s="4">
        <f t="shared" si="123"/>
        <v>1.0000000287621695</v>
      </c>
      <c r="AB127" s="4">
        <f t="shared" si="124"/>
        <v>4.2262186012801431E-4</v>
      </c>
      <c r="AC127" s="47" t="str">
        <f t="shared" si="125"/>
        <v>5,77163904740346-15,8614162419695i</v>
      </c>
      <c r="AD127" s="20">
        <f t="shared" si="126"/>
        <v>24.546868737932115</v>
      </c>
      <c r="AE127" s="43">
        <f t="shared" si="127"/>
        <v>-70.004607165823785</v>
      </c>
      <c r="AF127" t="str">
        <f t="shared" si="108"/>
        <v>171,265703090588</v>
      </c>
      <c r="AG127" t="str">
        <f t="shared" si="109"/>
        <v>1+3,05140671072022i</v>
      </c>
      <c r="AH127">
        <f t="shared" si="128"/>
        <v>3.2110874971305892</v>
      </c>
      <c r="AI127">
        <f t="shared" si="129"/>
        <v>1.2541083248026128</v>
      </c>
      <c r="AJ127" t="str">
        <f t="shared" si="110"/>
        <v>1+0,0386500333232513i</v>
      </c>
      <c r="AK127">
        <f t="shared" si="130"/>
        <v>1.0007466338069233</v>
      </c>
      <c r="AL127">
        <f t="shared" si="131"/>
        <v>3.8630805091492741E-2</v>
      </c>
      <c r="AM127" t="str">
        <f t="shared" si="111"/>
        <v>1-0,00097182463772609i</v>
      </c>
      <c r="AN127">
        <f t="shared" si="132"/>
        <v>1.0000004722214517</v>
      </c>
      <c r="AO127">
        <f t="shared" si="133"/>
        <v>-9.7182433178189692E-4</v>
      </c>
      <c r="AP127" s="41" t="str">
        <f t="shared" si="134"/>
        <v>18,5201514751464-50,0595295930963i</v>
      </c>
      <c r="AQ127">
        <f t="shared" si="135"/>
        <v>34.546852104923296</v>
      </c>
      <c r="AR127" s="43">
        <f t="shared" si="136"/>
        <v>-69.697413405115711</v>
      </c>
      <c r="AS127" t="str">
        <f t="shared" si="112"/>
        <v>-0,0000166666666666667</v>
      </c>
      <c r="AT127" t="str">
        <f t="shared" si="113"/>
        <v>2,56172420866509E-06i</v>
      </c>
      <c r="AU127">
        <f t="shared" si="137"/>
        <v>2.56172420866509E-6</v>
      </c>
      <c r="AV127">
        <f t="shared" si="138"/>
        <v>1.5707963267948966</v>
      </c>
      <c r="AW127" t="str">
        <f t="shared" si="114"/>
        <v>1+0,000862103338338784i</v>
      </c>
      <c r="AX127">
        <f t="shared" si="139"/>
        <v>1.000000371611014</v>
      </c>
      <c r="AY127">
        <f t="shared" si="140"/>
        <v>8.6210312476077574E-4</v>
      </c>
      <c r="AZ127" t="str">
        <f t="shared" si="115"/>
        <v>1+0,204072175946766i</v>
      </c>
      <c r="BA127">
        <f t="shared" si="141"/>
        <v>1.0206103335728323</v>
      </c>
      <c r="BB127">
        <f t="shared" si="142"/>
        <v>0.20130802976853018</v>
      </c>
      <c r="BC127" s="41" t="str">
        <f t="shared" si="143"/>
        <v>-1,32209080698427+6,50717450749683i</v>
      </c>
      <c r="BD127">
        <f t="shared" si="144"/>
        <v>16.443523539820003</v>
      </c>
      <c r="BE127" s="43">
        <f t="shared" si="145"/>
        <v>101.48470561727692</v>
      </c>
      <c r="BF127" s="41" t="str">
        <f t="shared" si="146"/>
        <v>95,5823724967366+58,5272950749959i</v>
      </c>
      <c r="BG127" s="20">
        <f t="shared" si="147"/>
        <v>40.990392277752122</v>
      </c>
      <c r="BH127" s="43">
        <f t="shared" si="148"/>
        <v>31.480098451453099</v>
      </c>
      <c r="BI127" s="41" t="str">
        <f t="shared" si="152"/>
        <v>301,260772816232+186,697101431042i</v>
      </c>
      <c r="BJ127" s="20">
        <f t="shared" si="149"/>
        <v>50.990375644743295</v>
      </c>
      <c r="BK127" s="43">
        <f t="shared" si="153"/>
        <v>31.787292212161208</v>
      </c>
      <c r="BL127">
        <f t="shared" si="150"/>
        <v>40.990392277752122</v>
      </c>
      <c r="BM127" s="43">
        <f t="shared" si="151"/>
        <v>31.480098451453099</v>
      </c>
    </row>
    <row r="128" spans="14:65" x14ac:dyDescent="0.25">
      <c r="N128" s="9">
        <v>10</v>
      </c>
      <c r="O128" s="34">
        <f t="shared" si="154"/>
        <v>125.89254117941677</v>
      </c>
      <c r="P128" s="33" t="str">
        <f t="shared" si="103"/>
        <v>54,631621870174</v>
      </c>
      <c r="Q128" s="4" t="str">
        <f t="shared" si="104"/>
        <v>1+3,1526540579844i</v>
      </c>
      <c r="R128" s="4">
        <f t="shared" si="117"/>
        <v>3.3074503184969393</v>
      </c>
      <c r="S128" s="4">
        <f t="shared" si="118"/>
        <v>1.263641657793948</v>
      </c>
      <c r="T128" s="4" t="str">
        <f t="shared" si="105"/>
        <v>1+0,0395503082511006i</v>
      </c>
      <c r="U128" s="4">
        <f t="shared" si="119"/>
        <v>1.0007818078296373</v>
      </c>
      <c r="V128" s="4">
        <f t="shared" si="120"/>
        <v>3.9529705698757148E-2</v>
      </c>
      <c r="W128" t="str">
        <f t="shared" si="106"/>
        <v>1-0,00314768155750494i</v>
      </c>
      <c r="X128" s="4">
        <f t="shared" si="121"/>
        <v>1.000004953937323</v>
      </c>
      <c r="Y128" s="4">
        <f t="shared" si="122"/>
        <v>-3.1476711619295569E-3</v>
      </c>
      <c r="Z128" t="str">
        <f t="shared" si="107"/>
        <v>0,999999936604272+0,000432465987418576i</v>
      </c>
      <c r="AA128" s="4">
        <f t="shared" si="123"/>
        <v>1.0000000301176886</v>
      </c>
      <c r="AB128" s="4">
        <f t="shared" si="124"/>
        <v>4.3246598787415746E-4</v>
      </c>
      <c r="AC128" s="47" t="str">
        <f t="shared" si="125"/>
        <v>5,56113967920876-15,5672445440948i</v>
      </c>
      <c r="AD128" s="20">
        <f t="shared" si="126"/>
        <v>24.365846099888721</v>
      </c>
      <c r="AE128" s="43">
        <f t="shared" si="127"/>
        <v>-70.34157525533665</v>
      </c>
      <c r="AF128" t="str">
        <f t="shared" si="108"/>
        <v>171,265703090588</v>
      </c>
      <c r="AG128" t="str">
        <f t="shared" si="109"/>
        <v>1+3,12248310367847i</v>
      </c>
      <c r="AH128">
        <f t="shared" si="128"/>
        <v>3.2787041240034962</v>
      </c>
      <c r="AI128">
        <f t="shared" si="129"/>
        <v>1.2608594212469866</v>
      </c>
      <c r="AJ128" t="str">
        <f t="shared" si="110"/>
        <v>1+0,0395503082511006i</v>
      </c>
      <c r="AK128">
        <f t="shared" si="130"/>
        <v>1.0007818078296373</v>
      </c>
      <c r="AL128">
        <f t="shared" si="131"/>
        <v>3.9529705698757148E-2</v>
      </c>
      <c r="AM128" t="str">
        <f t="shared" si="111"/>
        <v>1-0,00099446134151089i</v>
      </c>
      <c r="AN128">
        <f t="shared" si="132"/>
        <v>1.0000004944765577</v>
      </c>
      <c r="AO128">
        <f t="shared" si="133"/>
        <v>-9.9446101368578957E-4</v>
      </c>
      <c r="AP128" s="41" t="str">
        <f t="shared" si="134"/>
        <v>17,8505010060092-49,1345935542353i</v>
      </c>
      <c r="AQ128">
        <f t="shared" si="135"/>
        <v>34.366155835241145</v>
      </c>
      <c r="AR128" s="43">
        <f t="shared" si="136"/>
        <v>-70.034016513801404</v>
      </c>
      <c r="AS128" t="str">
        <f t="shared" si="112"/>
        <v>-0,0000166666666666667</v>
      </c>
      <c r="AT128" t="str">
        <f t="shared" si="113"/>
        <v>2,62139443088295E-06i</v>
      </c>
      <c r="AU128">
        <f t="shared" si="137"/>
        <v>2.62139443088295E-6</v>
      </c>
      <c r="AV128">
        <f t="shared" si="138"/>
        <v>1.5707963267948966</v>
      </c>
      <c r="AW128" t="str">
        <f t="shared" si="114"/>
        <v>1+0,000882184304743921i</v>
      </c>
      <c r="AX128">
        <f t="shared" si="139"/>
        <v>1.0000003891244982</v>
      </c>
      <c r="AY128">
        <f t="shared" si="140"/>
        <v>8.8218407589096685E-4</v>
      </c>
      <c r="AZ128" t="str">
        <f t="shared" si="115"/>
        <v>1+0,208825627565811i</v>
      </c>
      <c r="BA128">
        <f t="shared" si="141"/>
        <v>1.0215714085311192</v>
      </c>
      <c r="BB128">
        <f t="shared" si="142"/>
        <v>0.20586715888515841</v>
      </c>
      <c r="BC128" s="41" t="str">
        <f t="shared" si="143"/>
        <v>-1,32209076067545+6,35910562533615i</v>
      </c>
      <c r="BD128">
        <f t="shared" si="144"/>
        <v>16.251698753746645</v>
      </c>
      <c r="BE128" s="43">
        <f t="shared" si="145"/>
        <v>101.74477392016648</v>
      </c>
      <c r="BF128" s="41" t="str">
        <f t="shared" si="146"/>
        <v>91,6414209626292+55,9451847982595i</v>
      </c>
      <c r="BG128" s="20">
        <f t="shared" si="147"/>
        <v>40.617544853635366</v>
      </c>
      <c r="BH128" s="43">
        <f t="shared" si="148"/>
        <v>31.403198664829812</v>
      </c>
      <c r="BI128" s="41" t="str">
        <f t="shared" si="152"/>
        <v>288,85208781587+178,47361352998i</v>
      </c>
      <c r="BJ128" s="20">
        <f t="shared" si="149"/>
        <v>50.617854588987782</v>
      </c>
      <c r="BK128" s="43">
        <f t="shared" si="153"/>
        <v>31.710757406365168</v>
      </c>
      <c r="BL128">
        <f t="shared" si="150"/>
        <v>40.617544853635366</v>
      </c>
      <c r="BM128" s="43">
        <f t="shared" si="151"/>
        <v>31.403198664829812</v>
      </c>
    </row>
    <row r="129" spans="14:65" x14ac:dyDescent="0.25">
      <c r="N129" s="9">
        <v>11</v>
      </c>
      <c r="O129" s="34">
        <f t="shared" si="154"/>
        <v>128.82495516931343</v>
      </c>
      <c r="P129" s="33" t="str">
        <f t="shared" si="103"/>
        <v>54,631621870174</v>
      </c>
      <c r="Q129" s="4" t="str">
        <f t="shared" si="104"/>
        <v>1+3,22608880462092i</v>
      </c>
      <c r="R129" s="4">
        <f t="shared" si="117"/>
        <v>3.3775211287718747</v>
      </c>
      <c r="S129" s="4">
        <f t="shared" si="118"/>
        <v>1.2702154099296139</v>
      </c>
      <c r="T129" s="4" t="str">
        <f t="shared" si="105"/>
        <v>1+0,040471553275895i</v>
      </c>
      <c r="U129" s="4">
        <f t="shared" si="119"/>
        <v>1.0008186382280075</v>
      </c>
      <c r="V129" s="4">
        <f t="shared" si="120"/>
        <v>4.0449478218470399E-2</v>
      </c>
      <c r="W129" t="str">
        <f t="shared" si="106"/>
        <v>1-0,00322100047972618i</v>
      </c>
      <c r="X129" s="4">
        <f t="shared" si="121"/>
        <v>1.0000051874085907</v>
      </c>
      <c r="Y129" s="4">
        <f t="shared" si="122"/>
        <v>-3.2209893406695889E-3</v>
      </c>
      <c r="Z129" t="str">
        <f t="shared" si="107"/>
        <v>0,999999933616524+0,000442539414325206i</v>
      </c>
      <c r="AA129" s="4">
        <f t="shared" si="123"/>
        <v>1.0000000315370923</v>
      </c>
      <c r="AB129" s="4">
        <f t="shared" si="124"/>
        <v>4.4253941481337011E-4</v>
      </c>
      <c r="AC129" s="47" t="str">
        <f t="shared" si="125"/>
        <v>5,35841420277516-15,275842014795i</v>
      </c>
      <c r="AD129" s="20">
        <f t="shared" si="126"/>
        <v>24.184072860692009</v>
      </c>
      <c r="AE129" s="43">
        <f t="shared" si="127"/>
        <v>-70.670302411835905</v>
      </c>
      <c r="AF129" t="str">
        <f t="shared" si="108"/>
        <v>171,265703090588</v>
      </c>
      <c r="AG129" t="str">
        <f t="shared" si="109"/>
        <v>1+3,19521507850924i</v>
      </c>
      <c r="AH129">
        <f t="shared" si="128"/>
        <v>3.3480441152907181</v>
      </c>
      <c r="AI129">
        <f t="shared" si="129"/>
        <v>1.2674851729771737</v>
      </c>
      <c r="AJ129" t="str">
        <f t="shared" si="110"/>
        <v>1+0,040471553275895i</v>
      </c>
      <c r="AK129">
        <f t="shared" si="130"/>
        <v>1.0008186382280075</v>
      </c>
      <c r="AL129">
        <f t="shared" si="131"/>
        <v>4.0449478218470399E-2</v>
      </c>
      <c r="AM129" t="str">
        <f t="shared" si="111"/>
        <v>1-0,00101762532186221i</v>
      </c>
      <c r="AN129">
        <f t="shared" si="132"/>
        <v>1.0000005177805138</v>
      </c>
      <c r="AO129">
        <f t="shared" si="133"/>
        <v>-1.0176249705912959E-3</v>
      </c>
      <c r="AP129" s="41" t="str">
        <f t="shared" si="134"/>
        <v>17,2054855625846-48,2181221919105i</v>
      </c>
      <c r="AQ129">
        <f t="shared" si="135"/>
        <v>34.184696789264642</v>
      </c>
      <c r="AR129" s="43">
        <f t="shared" si="136"/>
        <v>-70.362272237518454</v>
      </c>
      <c r="AS129" t="str">
        <f t="shared" si="112"/>
        <v>-0,0000166666666666667</v>
      </c>
      <c r="AT129" t="str">
        <f t="shared" si="113"/>
        <v>2,68245455112632E-06i</v>
      </c>
      <c r="AU129">
        <f t="shared" si="137"/>
        <v>2.6824545511263199E-6</v>
      </c>
      <c r="AV129">
        <f t="shared" si="138"/>
        <v>1.5707963267948966</v>
      </c>
      <c r="AW129" t="str">
        <f t="shared" si="114"/>
        <v>1+0,000902733016944524i</v>
      </c>
      <c r="AX129">
        <f t="shared" si="139"/>
        <v>1.000000407463367</v>
      </c>
      <c r="AY129">
        <f t="shared" si="140"/>
        <v>9.0273277172417095E-4</v>
      </c>
      <c r="AZ129" t="str">
        <f t="shared" si="115"/>
        <v>1+0,213689801296725i</v>
      </c>
      <c r="BA129">
        <f t="shared" si="141"/>
        <v>1.0225768094271617</v>
      </c>
      <c r="BB129">
        <f t="shared" si="142"/>
        <v>0.21052351275999542</v>
      </c>
      <c r="BC129" s="41" t="str">
        <f t="shared" si="143"/>
        <v>-1,32209071218417+6,21440842514686i</v>
      </c>
      <c r="BD129">
        <f t="shared" si="144"/>
        <v>16.060242790863892</v>
      </c>
      <c r="BE129" s="43">
        <f t="shared" si="145"/>
        <v>102.01038599156831</v>
      </c>
      <c r="BF129" s="41" t="str">
        <f t="shared" si="146"/>
        <v>87,8460116684296+53,4954232157057i</v>
      </c>
      <c r="BG129" s="20">
        <f t="shared" si="147"/>
        <v>40.244315651555894</v>
      </c>
      <c r="BH129" s="43">
        <f t="shared" si="148"/>
        <v>31.340083579732411</v>
      </c>
      <c r="BI129" s="41" t="str">
        <f t="shared" si="152"/>
        <v>276,899892133257+170,670645947755i</v>
      </c>
      <c r="BJ129" s="20">
        <f t="shared" si="149"/>
        <v>50.244939580128531</v>
      </c>
      <c r="BK129" s="43">
        <f t="shared" si="153"/>
        <v>31.648113754049952</v>
      </c>
      <c r="BL129">
        <f t="shared" si="150"/>
        <v>40.244315651555894</v>
      </c>
      <c r="BM129" s="43">
        <f t="shared" si="151"/>
        <v>31.340083579732411</v>
      </c>
    </row>
    <row r="130" spans="14:65" x14ac:dyDescent="0.25">
      <c r="N130" s="9">
        <v>12</v>
      </c>
      <c r="O130" s="34">
        <f t="shared" si="154"/>
        <v>131.82567385564084</v>
      </c>
      <c r="P130" s="33" t="str">
        <f t="shared" si="103"/>
        <v>54,631621870174</v>
      </c>
      <c r="Q130" s="4" t="str">
        <f t="shared" si="104"/>
        <v>1+3,30123406624399i</v>
      </c>
      <c r="R130" s="4">
        <f t="shared" si="117"/>
        <v>3.4493689799918226</v>
      </c>
      <c r="S130" s="4">
        <f t="shared" si="118"/>
        <v>1.2766655164109486</v>
      </c>
      <c r="T130" s="4" t="str">
        <f t="shared" si="105"/>
        <v>1+0,0414142568539405i</v>
      </c>
      <c r="U130" s="4">
        <f t="shared" si="119"/>
        <v>1.0008572029369445</v>
      </c>
      <c r="V130" s="4">
        <f t="shared" si="120"/>
        <v>4.1390604097762747E-2</v>
      </c>
      <c r="W130" t="str">
        <f t="shared" si="106"/>
        <v>1-0,00329602721903675i</v>
      </c>
      <c r="X130" s="4">
        <f t="shared" si="121"/>
        <v>1.0000054318829616</v>
      </c>
      <c r="Y130" s="4">
        <f t="shared" si="122"/>
        <v>-3.296015283326072E-3</v>
      </c>
      <c r="Z130" t="str">
        <f t="shared" si="107"/>
        <v>0,999999930487967+0,000452847481487013i</v>
      </c>
      <c r="AA130" s="4">
        <f t="shared" si="123"/>
        <v>1.0000000330233896</v>
      </c>
      <c r="AB130" s="4">
        <f t="shared" si="124"/>
        <v>4.528474820100903E-4</v>
      </c>
      <c r="AC130" s="47" t="str">
        <f t="shared" si="125"/>
        <v>5,16324302161815-14,987356497567i</v>
      </c>
      <c r="AD130" s="20">
        <f t="shared" si="126"/>
        <v>24.001578080857531</v>
      </c>
      <c r="AE130" s="43">
        <f t="shared" si="127"/>
        <v>-70.990833028365941</v>
      </c>
      <c r="AF130" t="str">
        <f t="shared" si="108"/>
        <v>171,265703090588</v>
      </c>
      <c r="AG130" t="str">
        <f t="shared" si="109"/>
        <v>1+3,26964119866831i</v>
      </c>
      <c r="AH130">
        <f t="shared" si="128"/>
        <v>3.4191451516467009</v>
      </c>
      <c r="AI130">
        <f t="shared" si="129"/>
        <v>1.2739867652336467</v>
      </c>
      <c r="AJ130" t="str">
        <f t="shared" si="110"/>
        <v>1+0,0414142568539405i</v>
      </c>
      <c r="AK130">
        <f t="shared" si="130"/>
        <v>1.0008572029369445</v>
      </c>
      <c r="AL130">
        <f t="shared" si="131"/>
        <v>4.1390604097762747E-2</v>
      </c>
      <c r="AM130" t="str">
        <f t="shared" si="111"/>
        <v>1-0,00104132886062905i</v>
      </c>
      <c r="AN130">
        <f t="shared" si="132"/>
        <v>1.0000005421827511</v>
      </c>
      <c r="AO130">
        <f t="shared" si="133"/>
        <v>-1.0413284842354952E-3</v>
      </c>
      <c r="AP130" s="41" t="str">
        <f t="shared" si="134"/>
        <v>16,5844170800486-47,3105954422251i</v>
      </c>
      <c r="AQ130">
        <f t="shared" si="135"/>
        <v>34.00250436336254</v>
      </c>
      <c r="AR130" s="43">
        <f t="shared" si="136"/>
        <v>-70.682221604346736</v>
      </c>
      <c r="AS130" t="str">
        <f t="shared" si="112"/>
        <v>-0,0000166666666666667</v>
      </c>
      <c r="AT130" t="str">
        <f t="shared" si="113"/>
        <v>2,74493694427918E-06i</v>
      </c>
      <c r="AU130">
        <f t="shared" si="137"/>
        <v>2.7449369442791799E-6</v>
      </c>
      <c r="AV130">
        <f t="shared" si="138"/>
        <v>1.5707963267948966</v>
      </c>
      <c r="AW130" t="str">
        <f t="shared" si="114"/>
        <v>1+0,000923760370139796i</v>
      </c>
      <c r="AX130">
        <f t="shared" si="139"/>
        <v>1.0000004266665197</v>
      </c>
      <c r="AY130">
        <f t="shared" si="140"/>
        <v>9.2376010738145977E-4</v>
      </c>
      <c r="AZ130" t="str">
        <f t="shared" si="115"/>
        <v>1+0,218667276188806i</v>
      </c>
      <c r="BA130">
        <f t="shared" si="141"/>
        <v>1.0236285350046821</v>
      </c>
      <c r="BB130">
        <f t="shared" si="142"/>
        <v>0.21527875221834009</v>
      </c>
      <c r="BC130" s="41" t="str">
        <f t="shared" si="143"/>
        <v>-1,32209066140758+6,07300618655791i</v>
      </c>
      <c r="BD130">
        <f t="shared" si="144"/>
        <v>15.869171515906435</v>
      </c>
      <c r="BE130" s="43">
        <f t="shared" si="145"/>
        <v>102.28163636551798</v>
      </c>
      <c r="BF130" s="41" t="str">
        <f t="shared" si="146"/>
        <v>84,1920333484141+51,1710508776085i</v>
      </c>
      <c r="BG130" s="20">
        <f t="shared" si="147"/>
        <v>39.870749596763972</v>
      </c>
      <c r="BH130" s="43">
        <f t="shared" si="148"/>
        <v>31.290803337152028</v>
      </c>
      <c r="BI130" s="41" t="str">
        <f t="shared" si="152"/>
        <v>265,391435863951+163,26616394739i</v>
      </c>
      <c r="BJ130" s="20">
        <f t="shared" si="149"/>
        <v>49.871675879268984</v>
      </c>
      <c r="BK130" s="43">
        <f t="shared" si="153"/>
        <v>31.599414761171307</v>
      </c>
      <c r="BL130">
        <f t="shared" si="150"/>
        <v>39.870749596763972</v>
      </c>
      <c r="BM130" s="43">
        <f t="shared" si="151"/>
        <v>31.290803337152028</v>
      </c>
    </row>
    <row r="131" spans="14:65" x14ac:dyDescent="0.25">
      <c r="N131" s="9">
        <v>13</v>
      </c>
      <c r="O131" s="34">
        <f t="shared" si="154"/>
        <v>134.89628825916537</v>
      </c>
      <c r="P131" s="33" t="str">
        <f t="shared" si="103"/>
        <v>54,631621870174</v>
      </c>
      <c r="Q131" s="4" t="str">
        <f t="shared" si="104"/>
        <v>1+3,37812968586596i</v>
      </c>
      <c r="R131" s="4">
        <f t="shared" si="117"/>
        <v>3.5230328091757603</v>
      </c>
      <c r="S131" s="4">
        <f t="shared" si="118"/>
        <v>1.282993249588015</v>
      </c>
      <c r="T131" s="4" t="str">
        <f t="shared" si="105"/>
        <v>1+0,0423789188191525i</v>
      </c>
      <c r="U131" s="4">
        <f t="shared" si="119"/>
        <v>1.0008975835520237</v>
      </c>
      <c r="V131" s="4">
        <f t="shared" si="120"/>
        <v>4.2353575661654819E-2</v>
      </c>
      <c r="W131" t="str">
        <f t="shared" si="106"/>
        <v>1-0,00337280155560692i</v>
      </c>
      <c r="X131" s="4">
        <f t="shared" si="121"/>
        <v>1.0000056878789907</v>
      </c>
      <c r="Y131" s="4">
        <f t="shared" si="122"/>
        <v>-3.3727887662664355E-3</v>
      </c>
      <c r="Z131" t="str">
        <f t="shared" si="107"/>
        <v>0,999999927211966+0,000463395654377649i</v>
      </c>
      <c r="AA131" s="4">
        <f t="shared" si="123"/>
        <v>1.0000000345797344</v>
      </c>
      <c r="AB131" s="4">
        <f t="shared" si="124"/>
        <v>4.6339565493813624E-4</v>
      </c>
      <c r="AC131" s="47" t="str">
        <f t="shared" si="125"/>
        <v>4,97540717619994-14,7019232076943i</v>
      </c>
      <c r="AD131" s="20">
        <f t="shared" si="126"/>
        <v>23.818390040488239</v>
      </c>
      <c r="AE131" s="43">
        <f t="shared" si="127"/>
        <v>-71.303214389235961</v>
      </c>
      <c r="AF131" t="str">
        <f t="shared" si="108"/>
        <v>171,265703090588</v>
      </c>
      <c r="AG131" t="str">
        <f t="shared" si="109"/>
        <v>1+3,34580092586972i</v>
      </c>
      <c r="AH131">
        <f t="shared" si="128"/>
        <v>3.4920457951680239</v>
      </c>
      <c r="AI131">
        <f t="shared" si="129"/>
        <v>1.2803654458336353</v>
      </c>
      <c r="AJ131" t="str">
        <f t="shared" si="110"/>
        <v>1+0,0423789188191525i</v>
      </c>
      <c r="AK131">
        <f t="shared" si="130"/>
        <v>1.0008975835520237</v>
      </c>
      <c r="AL131">
        <f t="shared" si="131"/>
        <v>4.2353575661654819E-2</v>
      </c>
      <c r="AM131" t="str">
        <f t="shared" si="111"/>
        <v>1-0,00106558452574141i</v>
      </c>
      <c r="AN131">
        <f t="shared" si="132"/>
        <v>1.0000005677350297</v>
      </c>
      <c r="AO131">
        <f t="shared" si="133"/>
        <v>-1.0655841224284622E-3</v>
      </c>
      <c r="AP131" s="41" t="str">
        <f t="shared" si="134"/>
        <v>15,9866087349422-46,4124530621092i</v>
      </c>
      <c r="AQ131">
        <f t="shared" si="135"/>
        <v>33.819607172509897</v>
      </c>
      <c r="AR131" s="43">
        <f t="shared" si="136"/>
        <v>-70.993908620883857</v>
      </c>
      <c r="AS131" t="str">
        <f t="shared" si="112"/>
        <v>-0,0000166666666666667</v>
      </c>
      <c r="AT131" t="str">
        <f t="shared" si="113"/>
        <v>2,80887473933343E-06i</v>
      </c>
      <c r="AU131">
        <f t="shared" si="137"/>
        <v>2.8088747393334301E-6</v>
      </c>
      <c r="AV131">
        <f t="shared" si="138"/>
        <v>1.5707963267948966</v>
      </c>
      <c r="AW131" t="str">
        <f t="shared" si="114"/>
        <v>1+0,000945277513310728i</v>
      </c>
      <c r="AX131">
        <f t="shared" si="139"/>
        <v>1.0000004467746888</v>
      </c>
      <c r="AY131">
        <f t="shared" si="140"/>
        <v>9.4527723176010482E-4</v>
      </c>
      <c r="AZ131" t="str">
        <f t="shared" si="115"/>
        <v>1+0,223760691365125i</v>
      </c>
      <c r="BA131">
        <f t="shared" si="141"/>
        <v>1.0247286699415601</v>
      </c>
      <c r="BB131">
        <f t="shared" si="142"/>
        <v>0.22013453793893828</v>
      </c>
      <c r="BC131" s="41" t="str">
        <f t="shared" si="143"/>
        <v>-1,32209060823796+5,93482393623038i</v>
      </c>
      <c r="BD131">
        <f t="shared" si="144"/>
        <v>15.678501404916226</v>
      </c>
      <c r="BE131" s="43">
        <f t="shared" si="145"/>
        <v>102.55861955311403</v>
      </c>
      <c r="BF131" s="41" t="str">
        <f t="shared" si="146"/>
        <v>80,6753866618314+48,9654401977321i</v>
      </c>
      <c r="BG131" s="20">
        <f t="shared" si="147"/>
        <v>39.496891445404465</v>
      </c>
      <c r="BH131" s="43">
        <f t="shared" si="148"/>
        <v>31.255405163878049</v>
      </c>
      <c r="BI131" s="41" t="str">
        <f t="shared" si="152"/>
        <v>254,313992106133+156,239176477984i</v>
      </c>
      <c r="BJ131" s="20">
        <f t="shared" si="149"/>
        <v>49.498108577426123</v>
      </c>
      <c r="BK131" s="43">
        <f t="shared" si="153"/>
        <v>31.564710932230081</v>
      </c>
      <c r="BL131">
        <f t="shared" si="150"/>
        <v>39.496891445404465</v>
      </c>
      <c r="BM131" s="43">
        <f t="shared" si="151"/>
        <v>31.255405163878049</v>
      </c>
    </row>
    <row r="132" spans="14:65" x14ac:dyDescent="0.25">
      <c r="N132" s="9">
        <v>14</v>
      </c>
      <c r="O132" s="34">
        <f t="shared" si="154"/>
        <v>138.0384264602886</v>
      </c>
      <c r="P132" s="33" t="str">
        <f t="shared" si="103"/>
        <v>54,631621870174</v>
      </c>
      <c r="Q132" s="4" t="str">
        <f t="shared" si="104"/>
        <v>1+3,45681643456223i</v>
      </c>
      <c r="R132" s="4">
        <f t="shared" si="117"/>
        <v>3.5985524676263276</v>
      </c>
      <c r="S132" s="4">
        <f t="shared" si="118"/>
        <v>1.2891999368403413</v>
      </c>
      <c r="T132" s="4" t="str">
        <f t="shared" si="105"/>
        <v>1+0,0433660506480738i</v>
      </c>
      <c r="U132" s="4">
        <f t="shared" si="119"/>
        <v>1.0009398655008257</v>
      </c>
      <c r="V132" s="4">
        <f t="shared" si="120"/>
        <v>4.3338896342527369E-2</v>
      </c>
      <c r="W132" t="str">
        <f t="shared" si="106"/>
        <v>1-0,00345136419620619i</v>
      </c>
      <c r="X132" s="4">
        <f t="shared" si="121"/>
        <v>1.0000059559396708</v>
      </c>
      <c r="Y132" s="4">
        <f t="shared" si="122"/>
        <v>-3.4513504921853677E-3</v>
      </c>
      <c r="Z132" t="str">
        <f t="shared" si="107"/>
        <v>0,999999923781571+0,000474189525778002i</v>
      </c>
      <c r="AA132" s="4">
        <f t="shared" si="123"/>
        <v>1.0000000362094266</v>
      </c>
      <c r="AB132" s="4">
        <f t="shared" si="124"/>
        <v>4.7418952637857519E-4</v>
      </c>
      <c r="AC132" s="47" t="str">
        <f t="shared" si="125"/>
        <v>4,79468888428884-14,4196652189926i</v>
      </c>
      <c r="AD132" s="20">
        <f t="shared" si="126"/>
        <v>23.634536244126856</v>
      </c>
      <c r="AE132" s="43">
        <f t="shared" si="127"/>
        <v>-71.607496355675551</v>
      </c>
      <c r="AF132" t="str">
        <f t="shared" si="108"/>
        <v>171,265703090588</v>
      </c>
      <c r="AG132" t="str">
        <f t="shared" si="109"/>
        <v>1+3,42373464100894i</v>
      </c>
      <c r="AH132">
        <f t="shared" si="128"/>
        <v>3.5667855124810375</v>
      </c>
      <c r="AI132">
        <f t="shared" si="129"/>
        <v>1.2866225198039858</v>
      </c>
      <c r="AJ132" t="str">
        <f t="shared" si="110"/>
        <v>1+0,0433660506480738i</v>
      </c>
      <c r="AK132">
        <f t="shared" si="130"/>
        <v>1.0009398655008257</v>
      </c>
      <c r="AL132">
        <f t="shared" si="131"/>
        <v>4.3338896342527369E-2</v>
      </c>
      <c r="AM132" t="str">
        <f t="shared" si="111"/>
        <v>1-0,00109040517787399i</v>
      </c>
      <c r="AN132">
        <f t="shared" si="132"/>
        <v>1.0000005944915493</v>
      </c>
      <c r="AO132">
        <f t="shared" si="133"/>
        <v>-1.0904047457163943E-3</v>
      </c>
      <c r="AP132" s="41" t="str">
        <f t="shared" si="134"/>
        <v>15,4113767033236-45,524096139745i</v>
      </c>
      <c r="AQ132">
        <f t="shared" si="135"/>
        <v>33.636033054279686</v>
      </c>
      <c r="AR132" s="43">
        <f t="shared" si="136"/>
        <v>-71.297379951964373</v>
      </c>
      <c r="AS132" t="str">
        <f t="shared" si="112"/>
        <v>-0,0000166666666666667</v>
      </c>
      <c r="AT132" t="str">
        <f t="shared" si="113"/>
        <v>2,87430183695433E-06i</v>
      </c>
      <c r="AU132">
        <f t="shared" si="137"/>
        <v>2.87430183695433E-6</v>
      </c>
      <c r="AV132">
        <f t="shared" si="138"/>
        <v>1.5707963267948966</v>
      </c>
      <c r="AW132" t="str">
        <f t="shared" si="114"/>
        <v>1+0,000967295855131446i</v>
      </c>
      <c r="AX132">
        <f t="shared" si="139"/>
        <v>1.0000004678305263</v>
      </c>
      <c r="AY132">
        <f t="shared" si="140"/>
        <v>9.6729555344452552E-4</v>
      </c>
      <c r="AZ132" t="str">
        <f t="shared" si="115"/>
        <v>1+0,228972747421829i</v>
      </c>
      <c r="BA132">
        <f t="shared" si="141"/>
        <v>1.0258793881650516</v>
      </c>
      <c r="BB132">
        <f t="shared" si="142"/>
        <v>0.22509252816234496</v>
      </c>
      <c r="BC132" s="41" t="str">
        <f t="shared" si="143"/>
        <v>-1,32209055256253+5,79978840810578i</v>
      </c>
      <c r="BD132">
        <f t="shared" si="144"/>
        <v>15.488249562285421</v>
      </c>
      <c r="BE132" s="43">
        <f t="shared" si="145"/>
        <v>102.84142991087781</v>
      </c>
      <c r="BF132" s="41" t="str">
        <f t="shared" si="146"/>
        <v>77,2919943094845+46,8722841687167i</v>
      </c>
      <c r="BG132" s="20">
        <f t="shared" si="147"/>
        <v>39.122785806412281</v>
      </c>
      <c r="BH132" s="43">
        <f t="shared" si="148"/>
        <v>31.233933555202309</v>
      </c>
      <c r="BI132" s="41" t="str">
        <f t="shared" si="152"/>
        <v>243,65488953934+149,569701377193i</v>
      </c>
      <c r="BJ132" s="20">
        <f t="shared" si="149"/>
        <v>49.124282616565118</v>
      </c>
      <c r="BK132" s="43">
        <f t="shared" si="153"/>
        <v>31.54404995891344</v>
      </c>
      <c r="BL132">
        <f t="shared" si="150"/>
        <v>39.122785806412281</v>
      </c>
      <c r="BM132" s="43">
        <f t="shared" si="151"/>
        <v>31.233933555202309</v>
      </c>
    </row>
    <row r="133" spans="14:65" x14ac:dyDescent="0.25">
      <c r="N133" s="9">
        <v>15</v>
      </c>
      <c r="O133" s="34">
        <f t="shared" si="154"/>
        <v>141.25375446227542</v>
      </c>
      <c r="P133" s="33" t="str">
        <f t="shared" si="103"/>
        <v>54,631621870174</v>
      </c>
      <c r="Q133" s="4" t="str">
        <f t="shared" si="104"/>
        <v>1+3,53733603308847i</v>
      </c>
      <c r="R133" s="4">
        <f t="shared" si="117"/>
        <v>3.6759687445605511</v>
      </c>
      <c r="S133" s="4">
        <f t="shared" si="118"/>
        <v>1.2952869555054052</v>
      </c>
      <c r="T133" s="4" t="str">
        <f t="shared" si="105"/>
        <v>1+0,0443761757310661i</v>
      </c>
      <c r="U133" s="4">
        <f t="shared" si="119"/>
        <v>1.0009841382222369</v>
      </c>
      <c r="V133" s="4">
        <f t="shared" si="120"/>
        <v>4.4347080913245421E-2</v>
      </c>
      <c r="W133" t="str">
        <f t="shared" si="106"/>
        <v>1-0,00353175679578649i</v>
      </c>
      <c r="X133" s="4">
        <f t="shared" si="121"/>
        <v>1.0000062366335845</v>
      </c>
      <c r="Y133" s="4">
        <f t="shared" si="122"/>
        <v>-3.5317421116685659E-3</v>
      </c>
      <c r="Z133" t="str">
        <f t="shared" si="107"/>
        <v>0,999999920189507+0,000485234818741564i</v>
      </c>
      <c r="AA133" s="4">
        <f t="shared" si="123"/>
        <v>1.0000000379159242</v>
      </c>
      <c r="AB133" s="4">
        <f t="shared" si="124"/>
        <v>4.852348193850898E-4</v>
      </c>
      <c r="AC133" s="47" t="str">
        <f t="shared" si="125"/>
        <v>4,62087203235158-14,1406939586455i</v>
      </c>
      <c r="AD133" s="20">
        <f t="shared" si="126"/>
        <v>23.450043427585975</v>
      </c>
      <c r="AE133" s="43">
        <f t="shared" si="127"/>
        <v>-71.903731063305997</v>
      </c>
      <c r="AF133" t="str">
        <f t="shared" si="108"/>
        <v>171,265703090588</v>
      </c>
      <c r="AG133" t="str">
        <f t="shared" si="109"/>
        <v>1+3,50348366557331i</v>
      </c>
      <c r="AH133">
        <f t="shared" si="128"/>
        <v>3.6434046982100408</v>
      </c>
      <c r="AI133">
        <f t="shared" si="129"/>
        <v>1.2927593442218031</v>
      </c>
      <c r="AJ133" t="str">
        <f t="shared" si="110"/>
        <v>1+0,0443761757310661i</v>
      </c>
      <c r="AK133">
        <f t="shared" si="130"/>
        <v>1.0009841382222369</v>
      </c>
      <c r="AL133">
        <f t="shared" si="131"/>
        <v>4.4347080913245421E-2</v>
      </c>
      <c r="AM133" t="str">
        <f t="shared" si="111"/>
        <v>1-0,00111580397726511i</v>
      </c>
      <c r="AN133">
        <f t="shared" si="132"/>
        <v>1.0000006225090641</v>
      </c>
      <c r="AO133">
        <f t="shared" si="133"/>
        <v>-1.1158035141999188E-3</v>
      </c>
      <c r="AP133" s="41" t="str">
        <f t="shared" si="134"/>
        <v>14,8580417631214-44,645888635127i</v>
      </c>
      <c r="AQ133">
        <f t="shared" si="135"/>
        <v>33.45180907488831</v>
      </c>
      <c r="AR133" s="43">
        <f t="shared" si="136"/>
        <v>-71.592684612084724</v>
      </c>
      <c r="AS133" t="str">
        <f t="shared" si="112"/>
        <v>-0,0000166666666666667</v>
      </c>
      <c r="AT133" t="str">
        <f t="shared" si="113"/>
        <v>2,94125292745506E-06i</v>
      </c>
      <c r="AU133">
        <f t="shared" si="137"/>
        <v>2.9412529274550601E-6</v>
      </c>
      <c r="AV133">
        <f t="shared" si="138"/>
        <v>1.5707963267948966</v>
      </c>
      <c r="AW133" t="str">
        <f t="shared" si="114"/>
        <v>1+0,000989827070018227i</v>
      </c>
      <c r="AX133">
        <f t="shared" si="139"/>
        <v>1.0000004898786943</v>
      </c>
      <c r="AY133">
        <f t="shared" si="140"/>
        <v>9.8982674675487611E-4</v>
      </c>
      <c r="AZ133" t="str">
        <f t="shared" si="115"/>
        <v>1+0,234306207860029i</v>
      </c>
      <c r="BA133">
        <f t="shared" si="141"/>
        <v>1.0270829562609571</v>
      </c>
      <c r="BB133">
        <f t="shared" si="142"/>
        <v>0.23015437623507362</v>
      </c>
      <c r="BC133" s="41" t="str">
        <f t="shared" si="143"/>
        <v>-1,32209049426321+5,66782800455936i</v>
      </c>
      <c r="BD133">
        <f t="shared" si="144"/>
        <v>15.298433737655021</v>
      </c>
      <c r="BE133" s="43">
        <f t="shared" si="145"/>
        <v>103.13016149969749</v>
      </c>
      <c r="BF133" s="41" t="str">
        <f t="shared" si="146"/>
        <v>74,0378102335356+44,8855849754578i</v>
      </c>
      <c r="BG133" s="20">
        <f t="shared" si="147"/>
        <v>38.748477165240999</v>
      </c>
      <c r="BH133" s="43">
        <f t="shared" si="148"/>
        <v>31.226430436391482</v>
      </c>
      <c r="BI133" s="41" t="str">
        <f t="shared" si="152"/>
        <v>233,401542116223+143,238730170367i</v>
      </c>
      <c r="BJ133" s="20">
        <f t="shared" si="149"/>
        <v>48.750242812543334</v>
      </c>
      <c r="BK133" s="43">
        <f t="shared" si="153"/>
        <v>31.537476887612691</v>
      </c>
      <c r="BL133">
        <f t="shared" si="150"/>
        <v>38.748477165240999</v>
      </c>
      <c r="BM133" s="43">
        <f t="shared" si="151"/>
        <v>31.226430436391482</v>
      </c>
    </row>
    <row r="134" spans="14:65" x14ac:dyDescent="0.25">
      <c r="N134" s="9">
        <v>16</v>
      </c>
      <c r="O134" s="34">
        <f t="shared" si="154"/>
        <v>144.54397707459285</v>
      </c>
      <c r="P134" s="33" t="str">
        <f t="shared" si="103"/>
        <v>54,631621870174</v>
      </c>
      <c r="Q134" s="4" t="str">
        <f t="shared" si="104"/>
        <v>1+3,61973117400164i</v>
      </c>
      <c r="R134" s="4">
        <f t="shared" si="117"/>
        <v>3.7553233911394757</v>
      </c>
      <c r="S134" s="4">
        <f t="shared" si="118"/>
        <v>1.3012557280192147</v>
      </c>
      <c r="T134" s="4" t="str">
        <f t="shared" si="105"/>
        <v>1+0,0454098296498193i</v>
      </c>
      <c r="U134" s="4">
        <f t="shared" si="119"/>
        <v>1.0010304953540754</v>
      </c>
      <c r="V134" s="4">
        <f t="shared" si="120"/>
        <v>4.5378655723903712E-2</v>
      </c>
      <c r="W134" t="str">
        <f t="shared" si="106"/>
        <v>1-0,00361402197956825i</v>
      </c>
      <c r="X134" s="4">
        <f t="shared" si="121"/>
        <v>1.0000065305561103</v>
      </c>
      <c r="Y134" s="4">
        <f t="shared" si="122"/>
        <v>-3.6140062452579636E-3</v>
      </c>
      <c r="Z134" t="str">
        <f t="shared" si="107"/>
        <v>0,999999916428155+0,000496537389628864i</v>
      </c>
      <c r="AA134" s="4">
        <f t="shared" si="123"/>
        <v>1.0000000397028475</v>
      </c>
      <c r="AB134" s="4">
        <f t="shared" si="124"/>
        <v>4.96537390318414E-4</v>
      </c>
      <c r="AC134" s="47" t="str">
        <f t="shared" si="125"/>
        <v>4,4537426199455-13,8651097067065i</v>
      </c>
      <c r="AD134" s="20">
        <f t="shared" si="126"/>
        <v>23.264937566580599</v>
      </c>
      <c r="AE134" s="43">
        <f t="shared" si="127"/>
        <v>-72.191972631590446</v>
      </c>
      <c r="AF134" t="str">
        <f t="shared" si="108"/>
        <v>171,265703090588</v>
      </c>
      <c r="AG134" t="str">
        <f t="shared" si="109"/>
        <v>1+3,58509028355126i</v>
      </c>
      <c r="AH134">
        <f t="shared" si="128"/>
        <v>3.7219446988387204</v>
      </c>
      <c r="AI134">
        <f t="shared" si="129"/>
        <v>1.2987773232662201</v>
      </c>
      <c r="AJ134" t="str">
        <f t="shared" si="110"/>
        <v>1+0,0454098296498193i</v>
      </c>
      <c r="AK134">
        <f t="shared" si="130"/>
        <v>1.0010304953540754</v>
      </c>
      <c r="AL134">
        <f t="shared" si="131"/>
        <v>4.5378655723903712E-2</v>
      </c>
      <c r="AM134" t="str">
        <f t="shared" si="111"/>
        <v>1-0,00114179439069438i</v>
      </c>
      <c r="AN134">
        <f t="shared" si="132"/>
        <v>1.0000006518470028</v>
      </c>
      <c r="AO134">
        <f t="shared" si="133"/>
        <v>-1.1417938945111055E-3</v>
      </c>
      <c r="AP134" s="41" t="str">
        <f t="shared" si="134"/>
        <v>14,3259307466595-43,7781589395843i</v>
      </c>
      <c r="AQ134">
        <f t="shared" si="135"/>
        <v>33.2669615371167</v>
      </c>
      <c r="AR134" s="43">
        <f t="shared" si="136"/>
        <v>-71.87987366872504</v>
      </c>
      <c r="AS134" t="str">
        <f t="shared" si="112"/>
        <v>-0,0000166666666666667</v>
      </c>
      <c r="AT134" t="str">
        <f t="shared" si="113"/>
        <v>3,00976350919002E-06i</v>
      </c>
      <c r="AU134">
        <f t="shared" si="137"/>
        <v>3.00976350919002E-6</v>
      </c>
      <c r="AV134">
        <f t="shared" si="138"/>
        <v>1.5707963267948966</v>
      </c>
      <c r="AW134" t="str">
        <f t="shared" si="114"/>
        <v>1+0,00101288310431944i</v>
      </c>
      <c r="AX134">
        <f t="shared" si="139"/>
        <v>1.0000005129659599</v>
      </c>
      <c r="AY134">
        <f t="shared" si="140"/>
        <v>1.0128827579365285E-3</v>
      </c>
      <c r="AZ134" t="str">
        <f t="shared" si="115"/>
        <v>1+0,239763900551046i</v>
      </c>
      <c r="BA134">
        <f t="shared" si="141"/>
        <v>1.0283417369763088</v>
      </c>
      <c r="BB134">
        <f t="shared" si="142"/>
        <v>0.23532172798315998</v>
      </c>
      <c r="BC134" s="41" t="str">
        <f t="shared" si="143"/>
        <v>-1,32209043321634+5,53887275843808i</v>
      </c>
      <c r="BD134">
        <f t="shared" si="144"/>
        <v>15.109072342595748</v>
      </c>
      <c r="BE134" s="43">
        <f t="shared" si="145"/>
        <v>103.42490793398933</v>
      </c>
      <c r="BF134" s="41" t="str">
        <f t="shared" si="146"/>
        <v>70,9088279373942+42,9996425694425i</v>
      </c>
      <c r="BG134" s="20">
        <f t="shared" si="147"/>
        <v>38.374009909176351</v>
      </c>
      <c r="BH134" s="43">
        <f t="shared" si="148"/>
        <v>31.232935302398907</v>
      </c>
      <c r="BI134" s="41" t="str">
        <f t="shared" si="152"/>
        <v>223,541475977958+137,228192669792i</v>
      </c>
      <c r="BJ134" s="20">
        <f t="shared" si="149"/>
        <v>48.376033879712459</v>
      </c>
      <c r="BK134" s="43">
        <f t="shared" si="153"/>
        <v>31.54503426526432</v>
      </c>
      <c r="BL134">
        <f t="shared" si="150"/>
        <v>38.374009909176351</v>
      </c>
      <c r="BM134" s="43">
        <f t="shared" si="151"/>
        <v>31.232935302398907</v>
      </c>
    </row>
    <row r="135" spans="14:65" x14ac:dyDescent="0.25">
      <c r="N135" s="9">
        <v>17</v>
      </c>
      <c r="O135" s="34">
        <f t="shared" si="154"/>
        <v>147.91083881682084</v>
      </c>
      <c r="P135" s="33" t="str">
        <f t="shared" si="103"/>
        <v>54,631621870174</v>
      </c>
      <c r="Q135" s="4" t="str">
        <f t="shared" si="104"/>
        <v>1+3,70404554429606i</v>
      </c>
      <c r="R135" s="4">
        <f t="shared" si="117"/>
        <v>3.836659144909734</v>
      </c>
      <c r="S135" s="4">
        <f t="shared" si="118"/>
        <v>1.3071077172702641</v>
      </c>
      <c r="T135" s="4" t="str">
        <f t="shared" si="105"/>
        <v>1+0,0464675604613228i</v>
      </c>
      <c r="U135" s="4">
        <f t="shared" si="119"/>
        <v>1.0010790349294238</v>
      </c>
      <c r="V135" s="4">
        <f t="shared" si="120"/>
        <v>4.6434158942147953E-2</v>
      </c>
      <c r="W135" t="str">
        <f t="shared" si="106"/>
        <v>1-0,00369820336564081i</v>
      </c>
      <c r="X135" s="4">
        <f t="shared" si="121"/>
        <v>1.0000068383306855</v>
      </c>
      <c r="Y135" s="4">
        <f t="shared" si="122"/>
        <v>-3.6981865060298096E-3</v>
      </c>
      <c r="Z135" t="str">
        <f t="shared" si="107"/>
        <v>0,999999912489535+0,000508103231212595i</v>
      </c>
      <c r="AA135" s="4">
        <f t="shared" si="123"/>
        <v>1.0000000415739847</v>
      </c>
      <c r="AB135" s="4">
        <f t="shared" si="124"/>
        <v>5.0810323195146117E-4</v>
      </c>
      <c r="AC135" s="47" t="str">
        <f t="shared" si="125"/>
        <v>4,29308915920354-13,5930020971769i</v>
      </c>
      <c r="AD135" s="20">
        <f t="shared" si="126"/>
        <v>23.079243886996153</v>
      </c>
      <c r="AE135" s="43">
        <f t="shared" si="127"/>
        <v>-72.472276885336186</v>
      </c>
      <c r="AF135" t="str">
        <f t="shared" si="108"/>
        <v>171,265703090588</v>
      </c>
      <c r="AG135" t="str">
        <f t="shared" si="109"/>
        <v>1+3,66859776385183i</v>
      </c>
      <c r="AH135">
        <f t="shared" si="128"/>
        <v>3.8024478369779966</v>
      </c>
      <c r="AI135">
        <f t="shared" si="129"/>
        <v>1.3046779034831646</v>
      </c>
      <c r="AJ135" t="str">
        <f t="shared" si="110"/>
        <v>1+0,0464675604613228i</v>
      </c>
      <c r="AK135">
        <f t="shared" si="130"/>
        <v>1.0010790349294238</v>
      </c>
      <c r="AL135">
        <f t="shared" si="131"/>
        <v>4.6434158942147953E-2</v>
      </c>
      <c r="AM135" t="str">
        <f t="shared" si="111"/>
        <v>1-0,00116839019862303i</v>
      </c>
      <c r="AN135">
        <f t="shared" si="132"/>
        <v>1.0000006825675951</v>
      </c>
      <c r="AO135">
        <f t="shared" si="133"/>
        <v>-1.1683896669530919E-3</v>
      </c>
      <c r="AP135" s="41" t="str">
        <f t="shared" si="134"/>
        <v>13,8143778497556-42,9212014441559i</v>
      </c>
      <c r="AQ135">
        <f t="shared" si="135"/>
        <v>33.08151598993647</v>
      </c>
      <c r="AR135" s="43">
        <f t="shared" si="136"/>
        <v>-72.158999957680194</v>
      </c>
      <c r="AS135" t="str">
        <f t="shared" si="112"/>
        <v>-0,0000166666666666667</v>
      </c>
      <c r="AT135" t="str">
        <f t="shared" si="113"/>
        <v>3,07986990737648E-06i</v>
      </c>
      <c r="AU135">
        <f t="shared" si="137"/>
        <v>3.07986990737648E-6</v>
      </c>
      <c r="AV135">
        <f t="shared" si="138"/>
        <v>1.5707963267948966</v>
      </c>
      <c r="AW135" t="str">
        <f t="shared" si="114"/>
        <v>1+0,00103647618264966i</v>
      </c>
      <c r="AX135">
        <f t="shared" si="139"/>
        <v>1.0000005371412943</v>
      </c>
      <c r="AY135">
        <f t="shared" si="140"/>
        <v>1.0364758114936941E-3</v>
      </c>
      <c r="AZ135" t="str">
        <f t="shared" si="115"/>
        <v>1+0,245348719235784i</v>
      </c>
      <c r="BA135">
        <f t="shared" si="141"/>
        <v>1.0296581928147999</v>
      </c>
      <c r="BB135">
        <f t="shared" si="142"/>
        <v>0.24059621890890232</v>
      </c>
      <c r="BC135" s="41" t="str">
        <f t="shared" si="143"/>
        <v>-1,32209036929241+5,41285429596314i</v>
      </c>
      <c r="BD135">
        <f t="shared" si="144"/>
        <v>14.920184466990804</v>
      </c>
      <c r="BE135" s="43">
        <f t="shared" si="145"/>
        <v>103.72576222071974</v>
      </c>
      <c r="BF135" s="41" t="str">
        <f t="shared" si="146"/>
        <v>67,9010879648433+41,2090432607968i</v>
      </c>
      <c r="BG135" s="20">
        <f t="shared" si="147"/>
        <v>37.999428353986964</v>
      </c>
      <c r="BH135" s="43">
        <f t="shared" si="148"/>
        <v>31.25348533538358</v>
      </c>
      <c r="BI135" s="41" t="str">
        <f t="shared" si="152"/>
        <v>214,06235371197+131,520921557886i</v>
      </c>
      <c r="BJ135" s="20">
        <f t="shared" si="149"/>
        <v>48.001700456927274</v>
      </c>
      <c r="BK135" s="43">
        <f t="shared" si="153"/>
        <v>31.566762263039667</v>
      </c>
      <c r="BL135">
        <f t="shared" si="150"/>
        <v>37.999428353986964</v>
      </c>
      <c r="BM135" s="43">
        <f t="shared" si="151"/>
        <v>31.25348533538358</v>
      </c>
    </row>
    <row r="136" spans="14:65" x14ac:dyDescent="0.25">
      <c r="N136" s="9">
        <v>18</v>
      </c>
      <c r="O136" s="34">
        <f t="shared" si="154"/>
        <v>151.3561248436209</v>
      </c>
      <c r="P136" s="33" t="str">
        <f t="shared" si="103"/>
        <v>54,631621870174</v>
      </c>
      <c r="Q136" s="4" t="str">
        <f t="shared" si="104"/>
        <v>1+3,79032384856691i</v>
      </c>
      <c r="R136" s="4">
        <f t="shared" si="117"/>
        <v>3.9200197546715332</v>
      </c>
      <c r="S136" s="4">
        <f t="shared" si="118"/>
        <v>1.3128444221669671</v>
      </c>
      <c r="T136" s="4" t="str">
        <f t="shared" si="105"/>
        <v>1+0,0475499289884539i</v>
      </c>
      <c r="U136" s="4">
        <f t="shared" si="119"/>
        <v>1.0011298595820659</v>
      </c>
      <c r="V136" s="4">
        <f t="shared" si="120"/>
        <v>4.7514140797024249E-2</v>
      </c>
      <c r="W136" t="str">
        <f t="shared" si="106"/>
        <v>1-0,00378434558808934i</v>
      </c>
      <c r="X136" s="4">
        <f t="shared" si="121"/>
        <v>1.0000071606101277</v>
      </c>
      <c r="Y136" s="4">
        <f t="shared" si="122"/>
        <v>-3.7843275226976613E-3</v>
      </c>
      <c r="Z136" t="str">
        <f t="shared" si="107"/>
        <v>0,999999908365294+0,000519938475855056i</v>
      </c>
      <c r="AA136" s="4">
        <f t="shared" si="123"/>
        <v>1.0000000435333065</v>
      </c>
      <c r="AB136" s="4">
        <f t="shared" si="124"/>
        <v>5.1993847664676541E-4</v>
      </c>
      <c r="AC136" s="47" t="str">
        <f t="shared" si="125"/>
        <v>4,13870303159196-13,3244506178929i</v>
      </c>
      <c r="AD136" s="20">
        <f t="shared" si="126"/>
        <v>22.892986876633564</v>
      </c>
      <c r="AE136" s="43">
        <f t="shared" si="127"/>
        <v>-72.744701088262701</v>
      </c>
      <c r="AF136" t="str">
        <f t="shared" si="108"/>
        <v>171,265703090588</v>
      </c>
      <c r="AG136" t="str">
        <f t="shared" si="109"/>
        <v>1+3,75405038324642i</v>
      </c>
      <c r="AH136">
        <f t="shared" si="128"/>
        <v>3.8849574360541701</v>
      </c>
      <c r="AI136">
        <f t="shared" si="129"/>
        <v>1.3104625692637055</v>
      </c>
      <c r="AJ136" t="str">
        <f t="shared" si="110"/>
        <v>1+0,0475499289884539i</v>
      </c>
      <c r="AK136">
        <f t="shared" si="130"/>
        <v>1.0011298595820659</v>
      </c>
      <c r="AL136">
        <f t="shared" si="131"/>
        <v>4.7514140797024249E-2</v>
      </c>
      <c r="AM136" t="str">
        <f t="shared" si="111"/>
        <v>1-0,00119560550250047i</v>
      </c>
      <c r="AN136">
        <f t="shared" si="132"/>
        <v>1.0000007147360035</v>
      </c>
      <c r="AO136">
        <f t="shared" si="133"/>
        <v>-1.1956049328058895E-3</v>
      </c>
      <c r="AP136" s="41" t="str">
        <f t="shared" si="134"/>
        <v>13,3227258041207-42,0752781077358i</v>
      </c>
      <c r="AQ136">
        <f t="shared" si="135"/>
        <v>32.895497239679628</v>
      </c>
      <c r="AR136" s="43">
        <f t="shared" si="136"/>
        <v>-72.430117810435547</v>
      </c>
      <c r="AS136" t="str">
        <f t="shared" si="112"/>
        <v>-0,0000166666666666667</v>
      </c>
      <c r="AT136" t="str">
        <f t="shared" si="113"/>
        <v>3,15160929335472E-06i</v>
      </c>
      <c r="AU136">
        <f t="shared" si="137"/>
        <v>3.1516092933547202E-6</v>
      </c>
      <c r="AV136">
        <f t="shared" si="138"/>
        <v>1.5707963267948966</v>
      </c>
      <c r="AW136" t="str">
        <f t="shared" si="114"/>
        <v>1+0,00106061881437131i</v>
      </c>
      <c r="AX136">
        <f t="shared" si="139"/>
        <v>1.0000005624559765</v>
      </c>
      <c r="AY136">
        <f t="shared" si="140"/>
        <v>1.0606184166705392E-3</v>
      </c>
      <c r="AZ136" t="str">
        <f t="shared" si="115"/>
        <v>1+0,251063625059036i</v>
      </c>
      <c r="BA136">
        <f t="shared" si="141"/>
        <v>1.0310348897238075</v>
      </c>
      <c r="BB136">
        <f t="shared" si="142"/>
        <v>0.24597947120477789</v>
      </c>
      <c r="BC136" s="41" t="str">
        <f t="shared" si="143"/>
        <v>-1,32209030235586+5,28970580047729i</v>
      </c>
      <c r="BD136">
        <f t="shared" si="144"/>
        <v>14.731789895032517</v>
      </c>
      <c r="BE136" s="43">
        <f t="shared" si="145"/>
        <v>104.03281658794447</v>
      </c>
      <c r="BF136" s="41" t="str">
        <f t="shared" si="146"/>
        <v>65,0106845792427+39,5086483788007i</v>
      </c>
      <c r="BG136" s="20">
        <f t="shared" si="147"/>
        <v>37.624776771666077</v>
      </c>
      <c r="BH136" s="43">
        <f t="shared" si="148"/>
        <v>31.288115499681808</v>
      </c>
      <c r="BI136" s="41" t="str">
        <f t="shared" si="152"/>
        <v>204,951996076611+126,100617119389i</v>
      </c>
      <c r="BJ136" s="20">
        <f t="shared" si="149"/>
        <v>47.627287134712148</v>
      </c>
      <c r="BK136" s="43">
        <f t="shared" si="153"/>
        <v>31.60269877750892</v>
      </c>
      <c r="BL136">
        <f t="shared" si="150"/>
        <v>37.624776771666077</v>
      </c>
      <c r="BM136" s="43">
        <f t="shared" si="151"/>
        <v>31.288115499681808</v>
      </c>
    </row>
    <row r="137" spans="14:65" x14ac:dyDescent="0.25">
      <c r="N137" s="9">
        <v>19</v>
      </c>
      <c r="O137" s="34">
        <f t="shared" si="154"/>
        <v>154.8816618912482</v>
      </c>
      <c r="P137" s="33" t="str">
        <f t="shared" si="103"/>
        <v>54,631621870174</v>
      </c>
      <c r="Q137" s="4" t="str">
        <f t="shared" si="104"/>
        <v>1+3,87861183271313i</v>
      </c>
      <c r="R137" s="4">
        <f t="shared" si="117"/>
        <v>4.0054500057874023</v>
      </c>
      <c r="S137" s="4">
        <f t="shared" si="118"/>
        <v>1.3184673734174981</v>
      </c>
      <c r="T137" s="4" t="str">
        <f t="shared" si="105"/>
        <v>1+0,0486575091173323i</v>
      </c>
      <c r="U137" s="4">
        <f t="shared" si="119"/>
        <v>1.0011830767614398</v>
      </c>
      <c r="V137" s="4">
        <f t="shared" si="120"/>
        <v>4.8619163826288433E-2</v>
      </c>
      <c r="W137" t="str">
        <f t="shared" si="106"/>
        <v>1-0,00387249432066041i</v>
      </c>
      <c r="X137" s="4">
        <f t="shared" si="121"/>
        <v>1.0000074980780211</v>
      </c>
      <c r="Y137" s="4">
        <f t="shared" si="122"/>
        <v>-3.8724749632523081E-3</v>
      </c>
      <c r="Z137" t="str">
        <f t="shared" si="107"/>
        <v>0,999999904046683+0,000532049398759615i</v>
      </c>
      <c r="AA137" s="4">
        <f t="shared" si="123"/>
        <v>1.0000000455849678</v>
      </c>
      <c r="AB137" s="4">
        <f t="shared" si="124"/>
        <v>5.3204939960794682E-4</v>
      </c>
      <c r="AC137" s="47" t="str">
        <f t="shared" si="125"/>
        <v>3,990378804182-13,0595251067591i</v>
      </c>
      <c r="AD137" s="20">
        <f t="shared" si="126"/>
        <v>22.706190298280138</v>
      </c>
      <c r="AE137" s="43">
        <f t="shared" si="127"/>
        <v>-73.009303688574732</v>
      </c>
      <c r="AF137" t="str">
        <f t="shared" si="108"/>
        <v>171,265703090588</v>
      </c>
      <c r="AG137" t="str">
        <f t="shared" si="109"/>
        <v>1+3,84149344984494i</v>
      </c>
      <c r="AH137">
        <f t="shared" si="128"/>
        <v>3.9695178454318074</v>
      </c>
      <c r="AI137">
        <f t="shared" si="129"/>
        <v>1.3161328385353832</v>
      </c>
      <c r="AJ137" t="str">
        <f t="shared" si="110"/>
        <v>1+0,0486575091173323i</v>
      </c>
      <c r="AK137">
        <f t="shared" si="130"/>
        <v>1.0011830767614398</v>
      </c>
      <c r="AL137">
        <f t="shared" si="131"/>
        <v>4.8619163826288433E-2</v>
      </c>
      <c r="AM137" t="str">
        <f t="shared" si="111"/>
        <v>1-0,00122345473224104i</v>
      </c>
      <c r="AN137">
        <f t="shared" si="132"/>
        <v>1.0000007484204609</v>
      </c>
      <c r="AO137">
        <f t="shared" si="133"/>
        <v>-1.2234541218023236E-3</v>
      </c>
      <c r="AP137" s="41" t="str">
        <f t="shared" si="134"/>
        <v>12,8503269200081-41,2406200168772i</v>
      </c>
      <c r="AQ137">
        <f t="shared" si="135"/>
        <v>32.708929362596187</v>
      </c>
      <c r="AR137" s="43">
        <f t="shared" si="136"/>
        <v>-72.693282793556151</v>
      </c>
      <c r="AS137" t="str">
        <f t="shared" si="112"/>
        <v>-0,0000166666666666667</v>
      </c>
      <c r="AT137" t="str">
        <f t="shared" si="113"/>
        <v>3,22501970429679E-06i</v>
      </c>
      <c r="AU137">
        <f t="shared" si="137"/>
        <v>3.2250197042967901E-6</v>
      </c>
      <c r="AV137">
        <f t="shared" si="138"/>
        <v>1.5707963267948966</v>
      </c>
      <c r="AW137" t="str">
        <f t="shared" si="114"/>
        <v>1+0,00108532380022728i</v>
      </c>
      <c r="AX137">
        <f t="shared" si="139"/>
        <v>1.0000005889637023</v>
      </c>
      <c r="AY137">
        <f t="shared" si="140"/>
        <v>1.0853233740832401E-3</v>
      </c>
      <c r="AZ137" t="str">
        <f t="shared" si="115"/>
        <v>1+0,256911648139515i</v>
      </c>
      <c r="BA137">
        <f t="shared" si="141"/>
        <v>1.032474500871456</v>
      </c>
      <c r="BB137">
        <f t="shared" si="142"/>
        <v>0.25147309057879097</v>
      </c>
      <c r="BC137" s="41" t="str">
        <f t="shared" si="143"/>
        <v>-1,32209023226469+5,16936197701768i</v>
      </c>
      <c r="BD137">
        <f t="shared" si="144"/>
        <v>14.543909120737556</v>
      </c>
      <c r="BE137" s="43">
        <f t="shared" si="145"/>
        <v>104.3461623025339</v>
      </c>
      <c r="BF137" s="41" t="str">
        <f t="shared" si="146"/>
        <v>62,2337716847432+37,8935830458974i</v>
      </c>
      <c r="BG137" s="20">
        <f t="shared" si="147"/>
        <v>37.250099419017694</v>
      </c>
      <c r="BH137" s="43">
        <f t="shared" si="148"/>
        <v>31.33685861395919</v>
      </c>
      <c r="BI137" s="41" t="str">
        <f t="shared" si="152"/>
        <v>196,198401321529+120,95181226939i</v>
      </c>
      <c r="BJ137" s="20">
        <f t="shared" si="149"/>
        <v>47.252838483333768</v>
      </c>
      <c r="BK137" s="43">
        <f t="shared" si="153"/>
        <v>31.652879508977797</v>
      </c>
      <c r="BL137">
        <f t="shared" si="150"/>
        <v>37.250099419017694</v>
      </c>
      <c r="BM137" s="43">
        <f t="shared" si="151"/>
        <v>31.33685861395919</v>
      </c>
    </row>
    <row r="138" spans="14:65" x14ac:dyDescent="0.25">
      <c r="N138" s="9">
        <v>20</v>
      </c>
      <c r="O138" s="34">
        <f t="shared" si="154"/>
        <v>158.48931924611153</v>
      </c>
      <c r="P138" s="33" t="str">
        <f t="shared" si="103"/>
        <v>54,631621870174</v>
      </c>
      <c r="Q138" s="4" t="str">
        <f t="shared" si="104"/>
        <v>1+3,96895630819257i</v>
      </c>
      <c r="R138" s="4">
        <f t="shared" si="117"/>
        <v>4.0929957459471655</v>
      </c>
      <c r="S138" s="4">
        <f t="shared" si="118"/>
        <v>1.323978129520035</v>
      </c>
      <c r="T138" s="4" t="str">
        <f t="shared" si="105"/>
        <v>1+0,0497908881016031i</v>
      </c>
      <c r="U138" s="4">
        <f t="shared" si="119"/>
        <v>1.0012387989575446</v>
      </c>
      <c r="V138" s="4">
        <f t="shared" si="120"/>
        <v>4.9749803127106161E-2</v>
      </c>
      <c r="W138" t="str">
        <f t="shared" si="106"/>
        <v>1-0,00396269630097882i</v>
      </c>
      <c r="X138" s="4">
        <f t="shared" si="121"/>
        <v>1.0000078514501642</v>
      </c>
      <c r="Y138" s="4">
        <f t="shared" si="122"/>
        <v>-3.9626755591511348E-3</v>
      </c>
      <c r="Z138" t="str">
        <f t="shared" si="107"/>
        <v>0,999999899524543+0,000544442421297903i</v>
      </c>
      <c r="AA138" s="4">
        <f t="shared" si="123"/>
        <v>1.000000047733322</v>
      </c>
      <c r="AB138" s="4">
        <f t="shared" si="124"/>
        <v>5.4444242220690671E-4</v>
      </c>
      <c r="AC138" s="47" t="str">
        <f t="shared" si="125"/>
        <v>3,84791450770716-12,7982862421586i</v>
      </c>
      <c r="AD138" s="20">
        <f t="shared" si="126"/>
        <v>22.518877203963751</v>
      </c>
      <c r="AE138" s="43">
        <f t="shared" si="127"/>
        <v>-73.266144076432425</v>
      </c>
      <c r="AF138" t="str">
        <f t="shared" si="108"/>
        <v>171,265703090588</v>
      </c>
      <c r="AG138" t="str">
        <f t="shared" si="109"/>
        <v>1+3,93097332711875i</v>
      </c>
      <c r="AH138">
        <f t="shared" si="128"/>
        <v>4.0561744659862766</v>
      </c>
      <c r="AI138">
        <f t="shared" si="129"/>
        <v>1.3216902586648862</v>
      </c>
      <c r="AJ138" t="str">
        <f t="shared" si="110"/>
        <v>1+0,0497908881016031i</v>
      </c>
      <c r="AK138">
        <f t="shared" si="130"/>
        <v>1.0012387989575446</v>
      </c>
      <c r="AL138">
        <f t="shared" si="131"/>
        <v>4.9749803127106161E-2</v>
      </c>
      <c r="AM138" t="str">
        <f t="shared" si="111"/>
        <v>1-0,00125195265387498i</v>
      </c>
      <c r="AN138">
        <f t="shared" si="132"/>
        <v>1.0000007836924167</v>
      </c>
      <c r="AO138">
        <f t="shared" si="133"/>
        <v>-1.2519519997781382E-3</v>
      </c>
      <c r="AP138" s="41" t="str">
        <f t="shared" si="134"/>
        <v>12,3965440061977-40,417428930093i</v>
      </c>
      <c r="AQ138">
        <f t="shared" si="135"/>
        <v>32.521835718655737</v>
      </c>
      <c r="AR138" s="43">
        <f t="shared" si="136"/>
        <v>-72.948551460002321</v>
      </c>
      <c r="AS138" t="str">
        <f t="shared" si="112"/>
        <v>-0,0000166666666666667</v>
      </c>
      <c r="AT138" t="str">
        <f t="shared" si="113"/>
        <v>3,30014006337426E-06i</v>
      </c>
      <c r="AU138">
        <f t="shared" si="137"/>
        <v>3.3001400633742599E-6</v>
      </c>
      <c r="AV138">
        <f t="shared" si="138"/>
        <v>1.5707963267948966</v>
      </c>
      <c r="AW138" t="str">
        <f t="shared" si="114"/>
        <v>1+0,00111060423912809i</v>
      </c>
      <c r="AX138">
        <f t="shared" si="139"/>
        <v>1.0000006167206978</v>
      </c>
      <c r="AY138">
        <f t="shared" si="140"/>
        <v>1.1106037825065395E-3</v>
      </c>
      <c r="AZ138" t="str">
        <f t="shared" si="115"/>
        <v>1+0,262895889176465i</v>
      </c>
      <c r="BA138">
        <f t="shared" si="141"/>
        <v>1.0339798105117355</v>
      </c>
      <c r="BB138">
        <f t="shared" si="142"/>
        <v>0.25707866288591064</v>
      </c>
      <c r="BC138" s="41" t="str">
        <f t="shared" si="143"/>
        <v>-1,32209015887023+5,05175901769569i</v>
      </c>
      <c r="BD138">
        <f t="shared" si="144"/>
        <v>14.35656336287812</v>
      </c>
      <c r="BE138" s="43">
        <f t="shared" si="145"/>
        <v>104.66588947678028</v>
      </c>
      <c r="BF138" s="41" t="str">
        <f t="shared" si="146"/>
        <v>59,5665680320618+36,3592251047939i</v>
      </c>
      <c r="BG138" s="20">
        <f t="shared" si="147"/>
        <v>36.875440566841881</v>
      </c>
      <c r="BH138" s="43">
        <f t="shared" si="148"/>
        <v>31.399745400347872</v>
      </c>
      <c r="BI138" s="41" t="str">
        <f t="shared" si="152"/>
        <v>187,789762235076+116,059838006884i</v>
      </c>
      <c r="BJ138" s="20">
        <f t="shared" si="149"/>
        <v>46.878399081533857</v>
      </c>
      <c r="BK138" s="43">
        <f t="shared" si="153"/>
        <v>31.717338016778083</v>
      </c>
      <c r="BL138">
        <f t="shared" si="150"/>
        <v>36.875440566841881</v>
      </c>
      <c r="BM138" s="43">
        <f t="shared" si="151"/>
        <v>31.399745400347872</v>
      </c>
    </row>
    <row r="139" spans="14:65" x14ac:dyDescent="0.25">
      <c r="N139" s="9">
        <v>21</v>
      </c>
      <c r="O139" s="34">
        <f t="shared" si="154"/>
        <v>162.18100973589304</v>
      </c>
      <c r="P139" s="33" t="str">
        <f t="shared" si="103"/>
        <v>54,631621870174</v>
      </c>
      <c r="Q139" s="4" t="str">
        <f t="shared" si="104"/>
        <v>1+4,06140517684193i</v>
      </c>
      <c r="R139" s="4">
        <f t="shared" si="117"/>
        <v>4.1827039114044906</v>
      </c>
      <c r="S139" s="4">
        <f t="shared" si="118"/>
        <v>1.3293782729604808</v>
      </c>
      <c r="T139" s="4" t="str">
        <f t="shared" si="105"/>
        <v>1+0,0509506668738055i</v>
      </c>
      <c r="U139" s="4">
        <f t="shared" si="119"/>
        <v>1.001297143936247</v>
      </c>
      <c r="V139" s="4">
        <f t="shared" si="120"/>
        <v>5.0906646610052467E-2</v>
      </c>
      <c r="W139" t="str">
        <f t="shared" si="106"/>
        <v>1-0,00405499935532848i</v>
      </c>
      <c r="X139" s="4">
        <f t="shared" si="121"/>
        <v>1.0000082214760895</v>
      </c>
      <c r="Y139" s="4">
        <f t="shared" si="122"/>
        <v>-4.0549771300695588E-3</v>
      </c>
      <c r="Z139" t="str">
        <f t="shared" si="107"/>
        <v>0,99999989478928+0,000557124114414508i</v>
      </c>
      <c r="AA139" s="4">
        <f t="shared" si="123"/>
        <v>1.0000000499829238</v>
      </c>
      <c r="AB139" s="4">
        <f t="shared" si="124"/>
        <v>5.5712411538852338E-4</v>
      </c>
      <c r="AC139" s="47" t="str">
        <f t="shared" si="125"/>
        <v>3,71111187868864-12,5407860256466i</v>
      </c>
      <c r="AD139" s="20">
        <f t="shared" si="126"/>
        <v>22.331069950258012</v>
      </c>
      <c r="AE139" s="43">
        <f t="shared" si="127"/>
        <v>-73.515282353157673</v>
      </c>
      <c r="AF139" t="str">
        <f t="shared" si="108"/>
        <v>171,265703090588</v>
      </c>
      <c r="AG139" t="str">
        <f t="shared" si="109"/>
        <v>1+4,02253745848316i</v>
      </c>
      <c r="AH139">
        <f t="shared" si="128"/>
        <v>4.1449737761414314</v>
      </c>
      <c r="AI139">
        <f t="shared" si="129"/>
        <v>1.3271364025695285</v>
      </c>
      <c r="AJ139" t="str">
        <f t="shared" si="110"/>
        <v>1+0,0509506668738055i</v>
      </c>
      <c r="AK139">
        <f t="shared" si="130"/>
        <v>1.001297143936247</v>
      </c>
      <c r="AL139">
        <f t="shared" si="131"/>
        <v>5.0906646610052467E-2</v>
      </c>
      <c r="AM139" t="str">
        <f t="shared" si="111"/>
        <v>1-0,00128111437737755i</v>
      </c>
      <c r="AN139">
        <f t="shared" si="132"/>
        <v>1.0000008206266873</v>
      </c>
      <c r="AO139">
        <f t="shared" si="133"/>
        <v>-1.2811136765001876E-3</v>
      </c>
      <c r="AP139" s="41" t="str">
        <f t="shared" si="134"/>
        <v>11,960751174458-39,6058788003582i</v>
      </c>
      <c r="AQ139">
        <f t="shared" si="135"/>
        <v>32.334238966454329</v>
      </c>
      <c r="AR139" s="43">
        <f t="shared" si="136"/>
        <v>-73.195981112228949</v>
      </c>
      <c r="AS139" t="str">
        <f t="shared" si="112"/>
        <v>-0,0000166666666666667</v>
      </c>
      <c r="AT139" t="str">
        <f t="shared" si="113"/>
        <v>3,37701020039584E-06i</v>
      </c>
      <c r="AU139">
        <f t="shared" si="137"/>
        <v>3.3770102003958399E-6</v>
      </c>
      <c r="AV139">
        <f t="shared" si="138"/>
        <v>1.5707963267948966</v>
      </c>
      <c r="AW139" t="str">
        <f t="shared" si="114"/>
        <v>1+0,00113647353509707i</v>
      </c>
      <c r="AX139">
        <f t="shared" si="139"/>
        <v>1.0000006457858395</v>
      </c>
      <c r="AY139">
        <f t="shared" si="140"/>
        <v>1.1364730458182806E-3</v>
      </c>
      <c r="AZ139" t="str">
        <f t="shared" si="115"/>
        <v>1+0,269019521093693i</v>
      </c>
      <c r="BA139">
        <f t="shared" si="141"/>
        <v>1.035553717935231</v>
      </c>
      <c r="BB139">
        <f t="shared" si="142"/>
        <v>0.26279775056066934</v>
      </c>
      <c r="BC139" s="41" t="str">
        <f t="shared" si="143"/>
        <v>-1,3220900820168+4,93683456786516i</v>
      </c>
      <c r="BD139">
        <f t="shared" si="144"/>
        <v>14.169774579217663</v>
      </c>
      <c r="BE139" s="43">
        <f t="shared" si="145"/>
        <v>104.99208686360235</v>
      </c>
      <c r="BF139" s="41" t="str">
        <f t="shared" si="146"/>
        <v>57,0053617515435+34,9011942331273i</v>
      </c>
      <c r="BG139" s="20">
        <f t="shared" si="147"/>
        <v>36.500844529475671</v>
      </c>
      <c r="BH139" s="43">
        <f t="shared" si="148"/>
        <v>31.476804510444641</v>
      </c>
      <c r="BI139" s="41" t="str">
        <f t="shared" si="152"/>
        <v>179,714481051065+111,410789407211i</v>
      </c>
      <c r="BJ139" s="20">
        <f t="shared" si="149"/>
        <v>46.504013545672009</v>
      </c>
      <c r="BK139" s="43">
        <f t="shared" si="153"/>
        <v>31.796105751373322</v>
      </c>
      <c r="BL139">
        <f t="shared" si="150"/>
        <v>36.500844529475671</v>
      </c>
      <c r="BM139" s="43">
        <f t="shared" si="151"/>
        <v>31.476804510444641</v>
      </c>
    </row>
    <row r="140" spans="14:65" x14ac:dyDescent="0.25">
      <c r="N140" s="9">
        <v>22</v>
      </c>
      <c r="O140" s="34">
        <f t="shared" si="154"/>
        <v>165.95869074375622</v>
      </c>
      <c r="P140" s="33" t="str">
        <f t="shared" si="103"/>
        <v>54,631621870174</v>
      </c>
      <c r="Q140" s="4" t="str">
        <f t="shared" si="104"/>
        <v>1+4,15600745627514i</v>
      </c>
      <c r="R140" s="4">
        <f t="shared" si="117"/>
        <v>4.2746225537016205</v>
      </c>
      <c r="S140" s="4">
        <f t="shared" si="118"/>
        <v>1.3346694066140508</v>
      </c>
      <c r="T140" s="4" t="str">
        <f t="shared" si="105"/>
        <v>1+0,0521374603639965i</v>
      </c>
      <c r="U140" s="4">
        <f t="shared" si="119"/>
        <v>1.0013582349854657</v>
      </c>
      <c r="V140" s="4">
        <f t="shared" si="120"/>
        <v>5.2090295256315283E-2</v>
      </c>
      <c r="W140" t="str">
        <f t="shared" si="106"/>
        <v>1-0,00414945242401062i</v>
      </c>
      <c r="X140" s="4">
        <f t="shared" si="121"/>
        <v>1.0000086089406526</v>
      </c>
      <c r="Y140" s="4">
        <f t="shared" si="122"/>
        <v>-4.1494286092276945E-3</v>
      </c>
      <c r="Z140" t="str">
        <f t="shared" si="107"/>
        <v>0,999999889830852+0,00057010120211099i</v>
      </c>
      <c r="AA140" s="4">
        <f t="shared" si="123"/>
        <v>1.0000000523385471</v>
      </c>
      <c r="AB140" s="4">
        <f t="shared" si="124"/>
        <v>5.7010120315466588E-4</v>
      </c>
      <c r="AC140" s="47" t="str">
        <f t="shared" si="125"/>
        <v>3,57977656789814-12,2870682552869i</v>
      </c>
      <c r="AD140" s="20">
        <f t="shared" si="126"/>
        <v>22.142790214511109</v>
      </c>
      <c r="AE140" s="43">
        <f t="shared" si="127"/>
        <v>-73.756779111973586</v>
      </c>
      <c r="AF140" t="str">
        <f t="shared" si="108"/>
        <v>171,265703090588</v>
      </c>
      <c r="AG140" t="str">
        <f t="shared" si="109"/>
        <v>1+4,11623439245267i</v>
      </c>
      <c r="AH140">
        <f t="shared" si="128"/>
        <v>4.2359633583885268</v>
      </c>
      <c r="AI140">
        <f t="shared" si="129"/>
        <v>1.3324728650341897</v>
      </c>
      <c r="AJ140" t="str">
        <f t="shared" si="110"/>
        <v>1+0,0521374603639965i</v>
      </c>
      <c r="AK140">
        <f t="shared" si="130"/>
        <v>1.0013582349854657</v>
      </c>
      <c r="AL140">
        <f t="shared" si="131"/>
        <v>5.2090295256315283E-2</v>
      </c>
      <c r="AM140" t="str">
        <f t="shared" si="111"/>
        <v>1-0,00131095536468058i</v>
      </c>
      <c r="AN140">
        <f t="shared" si="132"/>
        <v>1.000000859301615</v>
      </c>
      <c r="AO140">
        <f t="shared" si="133"/>
        <v>-1.3109546136769903E-3</v>
      </c>
      <c r="AP140" s="41" t="str">
        <f t="shared" si="134"/>
        <v>11,5423345356177-38,8061172703585i</v>
      </c>
      <c r="AQ140">
        <f t="shared" si="135"/>
        <v>32.146161079098704</v>
      </c>
      <c r="AR140" s="43">
        <f t="shared" si="136"/>
        <v>-73.43562957688367</v>
      </c>
      <c r="AS140" t="str">
        <f t="shared" si="112"/>
        <v>-0,0000166666666666667</v>
      </c>
      <c r="AT140" t="str">
        <f t="shared" si="113"/>
        <v>3,45567087292569E-06i</v>
      </c>
      <c r="AU140">
        <f t="shared" si="137"/>
        <v>3.4556708729256901E-6</v>
      </c>
      <c r="AV140">
        <f t="shared" si="138"/>
        <v>1.5707963267948966</v>
      </c>
      <c r="AW140" t="str">
        <f t="shared" si="114"/>
        <v>1+0,00116294540437737i</v>
      </c>
      <c r="AX140">
        <f t="shared" si="139"/>
        <v>1.000000676220778</v>
      </c>
      <c r="AY140">
        <f t="shared" si="140"/>
        <v>1.1629448801057207E-3</v>
      </c>
      <c r="AZ140" t="str">
        <f t="shared" si="115"/>
        <v>1+0,275285790721901i</v>
      </c>
      <c r="BA140">
        <f t="shared" si="141"/>
        <v>1.0371992415025102</v>
      </c>
      <c r="BB140">
        <f t="shared" si="142"/>
        <v>0.26863188884654321</v>
      </c>
      <c r="BC140" s="41" t="str">
        <f t="shared" si="143"/>
        <v>-1,32209000154139+4,82452769306099i</v>
      </c>
      <c r="BD140">
        <f t="shared" si="144"/>
        <v>13.983565479931796</v>
      </c>
      <c r="BE140" s="43">
        <f t="shared" si="145"/>
        <v>105.32484164009792</v>
      </c>
      <c r="BF140" s="41" t="str">
        <f t="shared" si="146"/>
        <v>54,546514255992+33,5153412753668i</v>
      </c>
      <c r="BG140" s="20">
        <f t="shared" si="147"/>
        <v>36.126355694442914</v>
      </c>
      <c r="BH140" s="43">
        <f t="shared" si="148"/>
        <v>31.568062528124301</v>
      </c>
      <c r="BI140" s="41" t="str">
        <f t="shared" si="152"/>
        <v>171,961182347031+106,991492251445i</v>
      </c>
      <c r="BJ140" s="20">
        <f t="shared" si="149"/>
        <v>46.129726559030502</v>
      </c>
      <c r="BK140" s="43">
        <f t="shared" si="153"/>
        <v>31.889212063214117</v>
      </c>
      <c r="BL140">
        <f t="shared" si="150"/>
        <v>36.126355694442914</v>
      </c>
      <c r="BM140" s="43">
        <f t="shared" si="151"/>
        <v>31.568062528124301</v>
      </c>
    </row>
    <row r="141" spans="14:65" x14ac:dyDescent="0.25">
      <c r="N141" s="9">
        <v>23</v>
      </c>
      <c r="O141" s="34">
        <f t="shared" si="154"/>
        <v>169.82436524617444</v>
      </c>
      <c r="P141" s="33" t="str">
        <f t="shared" si="103"/>
        <v>54,631621870174</v>
      </c>
      <c r="Q141" s="4" t="str">
        <f t="shared" si="104"/>
        <v>1+4,2528133058729i</v>
      </c>
      <c r="R141" s="4">
        <f t="shared" si="117"/>
        <v>4.3688008668980993</v>
      </c>
      <c r="S141" s="4">
        <f t="shared" si="118"/>
        <v>1.3398531503463837</v>
      </c>
      <c r="T141" s="4" t="str">
        <f t="shared" si="105"/>
        <v>1+0,053351897825793i</v>
      </c>
      <c r="U141" s="4">
        <f t="shared" si="119"/>
        <v>1.001422201172719</v>
      </c>
      <c r="V141" s="4">
        <f t="shared" si="120"/>
        <v>5.3301363377982545E-2</v>
      </c>
      <c r="W141" t="str">
        <f t="shared" si="106"/>
        <v>1-0,00424610558729244i</v>
      </c>
      <c r="X141" s="4">
        <f t="shared" si="121"/>
        <v>1.000009014665697</v>
      </c>
      <c r="Y141" s="4">
        <f t="shared" si="122"/>
        <v>-4.2460800693052093E-3</v>
      </c>
      <c r="Z141" t="str">
        <f t="shared" si="107"/>
        <v>0,99999988463874+0,000583380565011007i</v>
      </c>
      <c r="AA141" s="4">
        <f t="shared" si="123"/>
        <v>1.0000000548051871</v>
      </c>
      <c r="AB141" s="4">
        <f t="shared" si="124"/>
        <v>5.8338056612932581E-4</v>
      </c>
      <c r="AC141" s="47" t="str">
        <f t="shared" si="125"/>
        <v>3,45371831740033-12,0371689882377i</v>
      </c>
      <c r="AD141" s="20">
        <f t="shared" si="126"/>
        <v>21.954059011884802</v>
      </c>
      <c r="AE141" s="43">
        <f t="shared" si="127"/>
        <v>-73.990695230038511</v>
      </c>
      <c r="AF141" t="str">
        <f t="shared" si="108"/>
        <v>171,265703090588</v>
      </c>
      <c r="AG141" t="str">
        <f t="shared" si="109"/>
        <v>1+4,21211380838183i</v>
      </c>
      <c r="AH141">
        <f t="shared" si="128"/>
        <v>4.3291919263022844</v>
      </c>
      <c r="AI141">
        <f t="shared" si="129"/>
        <v>1.3377012592296507</v>
      </c>
      <c r="AJ141" t="str">
        <f t="shared" si="110"/>
        <v>1+0,053351897825793i</v>
      </c>
      <c r="AK141">
        <f t="shared" si="130"/>
        <v>1.001422201172719</v>
      </c>
      <c r="AL141">
        <f t="shared" si="131"/>
        <v>5.3301363377982545E-2</v>
      </c>
      <c r="AM141" t="str">
        <f t="shared" si="111"/>
        <v>1-0,00134149143787049i</v>
      </c>
      <c r="AN141">
        <f t="shared" si="132"/>
        <v>1.000000899799234</v>
      </c>
      <c r="AO141">
        <f t="shared" si="133"/>
        <v>-1.3414906331556847E-3</v>
      </c>
      <c r="AP141" s="41" t="str">
        <f t="shared" si="134"/>
        <v>11,1406927943108-38,0182671358016i</v>
      </c>
      <c r="AQ141">
        <f t="shared" si="135"/>
        <v>31.95762336094797</v>
      </c>
      <c r="AR141" s="43">
        <f t="shared" si="136"/>
        <v>-73.667554990879182</v>
      </c>
      <c r="AS141" t="str">
        <f t="shared" si="112"/>
        <v>-0,0000166666666666667</v>
      </c>
      <c r="AT141" t="str">
        <f t="shared" si="113"/>
        <v>3,53616378789357E-06i</v>
      </c>
      <c r="AU141">
        <f t="shared" si="137"/>
        <v>3.5361637878935699E-6</v>
      </c>
      <c r="AV141">
        <f t="shared" si="138"/>
        <v>1.5707963267948966</v>
      </c>
      <c r="AW141" t="str">
        <f t="shared" si="114"/>
        <v>1+0,00119003388270447i</v>
      </c>
      <c r="AX141">
        <f t="shared" si="139"/>
        <v>1.0000007080900704</v>
      </c>
      <c r="AY141">
        <f t="shared" si="140"/>
        <v>1.1900333209372979E-3</v>
      </c>
      <c r="AZ141" t="str">
        <f t="shared" si="115"/>
        <v>1+0,281698020520187i</v>
      </c>
      <c r="BA141">
        <f t="shared" si="141"/>
        <v>1.0389195227566916</v>
      </c>
      <c r="BB141">
        <f t="shared" si="142"/>
        <v>0.27458258181833833</v>
      </c>
      <c r="BC141" s="41" t="str">
        <f t="shared" si="143"/>
        <v>-1,32208991727331+4,71477884669104i</v>
      </c>
      <c r="BD141">
        <f t="shared" si="144"/>
        <v>13.797959540087588</v>
      </c>
      <c r="BE141" s="43">
        <f t="shared" si="145"/>
        <v>105.66423917922677</v>
      </c>
      <c r="BF141" s="41" t="str">
        <f t="shared" si="146"/>
        <v>52,1864635552514+32,1977378171725i</v>
      </c>
      <c r="BG141" s="20">
        <f t="shared" si="147"/>
        <v>35.752018551972398</v>
      </c>
      <c r="BH141" s="43">
        <f t="shared" si="148"/>
        <v>31.673543949188286</v>
      </c>
      <c r="BI141" s="41" t="str">
        <f t="shared" si="152"/>
        <v>164,518724064929+102,789470376546i</v>
      </c>
      <c r="BJ141" s="20">
        <f t="shared" si="149"/>
        <v>45.755582901035552</v>
      </c>
      <c r="BK141" s="43">
        <f t="shared" si="153"/>
        <v>31.99668418834748</v>
      </c>
      <c r="BL141">
        <f t="shared" si="150"/>
        <v>35.752018551972398</v>
      </c>
      <c r="BM141" s="43">
        <f t="shared" si="151"/>
        <v>31.673543949188286</v>
      </c>
    </row>
    <row r="142" spans="14:65" x14ac:dyDescent="0.25">
      <c r="N142" s="9">
        <v>24</v>
      </c>
      <c r="O142" s="34">
        <f t="shared" si="154"/>
        <v>173.78008287493768</v>
      </c>
      <c r="P142" s="33" t="str">
        <f t="shared" si="103"/>
        <v>54,631621870174</v>
      </c>
      <c r="Q142" s="4" t="str">
        <f t="shared" si="104"/>
        <v>1+4,3518740533781i</v>
      </c>
      <c r="R142" s="4">
        <f t="shared" si="117"/>
        <v>4.4652892153213921</v>
      </c>
      <c r="S142" s="4">
        <f t="shared" si="118"/>
        <v>1.3449311378093884</v>
      </c>
      <c r="T142" s="4" t="str">
        <f t="shared" si="105"/>
        <v>1+0,054594623170013i</v>
      </c>
      <c r="U142" s="4">
        <f t="shared" si="119"/>
        <v>1.001489177614554</v>
      </c>
      <c r="V142" s="4">
        <f t="shared" si="120"/>
        <v>5.4540478881290905E-2</v>
      </c>
      <c r="W142" t="str">
        <f t="shared" si="106"/>
        <v>1-0,00434501009196053i</v>
      </c>
      <c r="X142" s="4">
        <f t="shared" si="121"/>
        <v>1.0000094395117973</v>
      </c>
      <c r="Y142" s="4">
        <f t="shared" si="122"/>
        <v>-4.3449827489585209E-3</v>
      </c>
      <c r="Z142" t="str">
        <f t="shared" si="107"/>
        <v>0,999999879201931+0,000596969244008553i</v>
      </c>
      <c r="AA142" s="4">
        <f t="shared" si="123"/>
        <v>1.0000000573880758</v>
      </c>
      <c r="AB142" s="4">
        <f t="shared" si="124"/>
        <v>5.9696924520685323E-4</v>
      </c>
      <c r="AC142" s="47" t="str">
        <f t="shared" si="125"/>
        <v>3,33275110837027-11,7911169914069i</v>
      </c>
      <c r="AD142" s="20">
        <f t="shared" si="126"/>
        <v>21.764896713092398</v>
      </c>
      <c r="AE142" s="43">
        <f t="shared" si="127"/>
        <v>-74.217091671507248</v>
      </c>
      <c r="AF142" t="str">
        <f t="shared" si="108"/>
        <v>171,265703090588</v>
      </c>
      <c r="AG142" t="str">
        <f t="shared" si="109"/>
        <v>1+4,31022654280614i</v>
      </c>
      <c r="AH142">
        <f t="shared" si="128"/>
        <v>4.4247093520716776</v>
      </c>
      <c r="AI142">
        <f t="shared" si="129"/>
        <v>1.3428232134277467</v>
      </c>
      <c r="AJ142" t="str">
        <f t="shared" si="110"/>
        <v>1+0,054594623170013i</v>
      </c>
      <c r="AK142">
        <f t="shared" si="130"/>
        <v>1.001489177614554</v>
      </c>
      <c r="AL142">
        <f t="shared" si="131"/>
        <v>5.4540478881290905E-2</v>
      </c>
      <c r="AM142" t="str">
        <f t="shared" si="111"/>
        <v>1-0,00137273878757751i</v>
      </c>
      <c r="AN142">
        <f t="shared" si="132"/>
        <v>1.0000009422054454</v>
      </c>
      <c r="AO142">
        <f t="shared" si="133"/>
        <v>-1.3727379253101048E-3</v>
      </c>
      <c r="AP142" s="41" t="str">
        <f t="shared" si="134"/>
        <v>10,7552377493378-37,2424277728225i</v>
      </c>
      <c r="AQ142">
        <f t="shared" si="135"/>
        <v>31.768646465100584</v>
      </c>
      <c r="AR142" s="43">
        <f t="shared" si="136"/>
        <v>-73.891815598582284</v>
      </c>
      <c r="AS142" t="str">
        <f t="shared" si="112"/>
        <v>-0,0000166666666666667</v>
      </c>
      <c r="AT142" t="str">
        <f t="shared" si="113"/>
        <v>3,61853162370846E-06i</v>
      </c>
      <c r="AU142">
        <f t="shared" si="137"/>
        <v>3.6185316237084598E-6</v>
      </c>
      <c r="AV142">
        <f t="shared" si="138"/>
        <v>1.5707963267948966</v>
      </c>
      <c r="AW142" t="str">
        <f t="shared" si="114"/>
        <v>1+0,00121775333274815i</v>
      </c>
      <c r="AX142">
        <f t="shared" si="139"/>
        <v>1.0000007414613148</v>
      </c>
      <c r="AY142">
        <f t="shared" si="140"/>
        <v>1.2177527308038043E-3</v>
      </c>
      <c r="AZ142" t="str">
        <f t="shared" si="115"/>
        <v>1+0,288259610337669i</v>
      </c>
      <c r="BA142">
        <f t="shared" si="141"/>
        <v>1.0407178306111724</v>
      </c>
      <c r="BB142">
        <f t="shared" si="142"/>
        <v>0.28065129819460211</v>
      </c>
      <c r="BC142" s="41" t="str">
        <f t="shared" si="143"/>
        <v>-1,32208982903381+4,60752983846363i</v>
      </c>
      <c r="BD142">
        <f t="shared" si="144"/>
        <v>13.612981011044242</v>
      </c>
      <c r="BE142" s="43">
        <f t="shared" si="145"/>
        <v>106.01036280945263</v>
      </c>
      <c r="BF142" s="41" t="str">
        <f t="shared" si="146"/>
        <v>49,9217270236453+30,9446660232756i</v>
      </c>
      <c r="BG142" s="20">
        <f t="shared" si="147"/>
        <v>35.377877724136646</v>
      </c>
      <c r="BH142" s="43">
        <f t="shared" si="148"/>
        <v>31.793271137945435</v>
      </c>
      <c r="BI142" s="41" t="str">
        <f t="shared" si="152"/>
        <v>157,376206782866+98,7929138168192i</v>
      </c>
      <c r="BJ142" s="20">
        <f t="shared" si="149"/>
        <v>45.381627476144814</v>
      </c>
      <c r="BK142" s="43">
        <f t="shared" si="153"/>
        <v>32.118547210870389</v>
      </c>
      <c r="BL142">
        <f t="shared" si="150"/>
        <v>35.377877724136646</v>
      </c>
      <c r="BM142" s="43">
        <f t="shared" si="151"/>
        <v>31.793271137945435</v>
      </c>
    </row>
    <row r="143" spans="14:65" x14ac:dyDescent="0.25">
      <c r="N143" s="9">
        <v>25</v>
      </c>
      <c r="O143" s="34">
        <f t="shared" si="154"/>
        <v>177.82794100389242</v>
      </c>
      <c r="P143" s="33" t="str">
        <f t="shared" si="103"/>
        <v>54,631621870174</v>
      </c>
      <c r="Q143" s="4" t="str">
        <f t="shared" si="104"/>
        <v>1+4,45324222211027i</v>
      </c>
      <c r="R143" s="4">
        <f t="shared" si="117"/>
        <v>4.5641391618557838</v>
      </c>
      <c r="S143" s="4">
        <f t="shared" si="118"/>
        <v>1.3499050134264727</v>
      </c>
      <c r="T143" s="4" t="str">
        <f t="shared" si="105"/>
        <v>1+0,055866295306083i</v>
      </c>
      <c r="U143" s="4">
        <f t="shared" si="119"/>
        <v>1.0015593057583891</v>
      </c>
      <c r="V143" s="4">
        <f t="shared" si="120"/>
        <v>5.5808283532678991E-2</v>
      </c>
      <c r="W143" t="str">
        <f t="shared" si="106"/>
        <v>1-0,00444621837849238i</v>
      </c>
      <c r="X143" s="4">
        <f t="shared" si="121"/>
        <v>1.000009884380084</v>
      </c>
      <c r="Y143" s="4">
        <f t="shared" si="122"/>
        <v>-4.4461890799535053E-3</v>
      </c>
      <c r="Z143" t="str">
        <f t="shared" si="107"/>
        <v>0,999999873508894+0,000610874444001094i</v>
      </c>
      <c r="AA143" s="4">
        <f t="shared" si="123"/>
        <v>1.0000000600926935</v>
      </c>
      <c r="AB143" s="4">
        <f t="shared" si="124"/>
        <v>6.1087444528509544E-4</v>
      </c>
      <c r="AC143" s="47" t="str">
        <f t="shared" si="125"/>
        <v>3,21669328182782-11,5489341792077i</v>
      </c>
      <c r="AD143" s="20">
        <f t="shared" si="126"/>
        <v>21.57532306273767</v>
      </c>
      <c r="AE143" s="43">
        <f t="shared" si="127"/>
        <v>-74.436029301321412</v>
      </c>
      <c r="AF143" t="str">
        <f t="shared" si="108"/>
        <v>171,265703090588</v>
      </c>
      <c r="AG143" t="str">
        <f t="shared" si="109"/>
        <v>1+4,41062461639604i</v>
      </c>
      <c r="AH143">
        <f t="shared" si="128"/>
        <v>4.5225666945616974</v>
      </c>
      <c r="AI143">
        <f t="shared" si="129"/>
        <v>1.3478403679081654</v>
      </c>
      <c r="AJ143" t="str">
        <f t="shared" si="110"/>
        <v>1+0,055866295306083i</v>
      </c>
      <c r="AK143">
        <f t="shared" si="130"/>
        <v>1.0015593057583891</v>
      </c>
      <c r="AL143">
        <f t="shared" si="131"/>
        <v>5.5808283532678991E-2</v>
      </c>
      <c r="AM143" t="str">
        <f t="shared" si="111"/>
        <v>1-0,00140471398156005i</v>
      </c>
      <c r="AN143">
        <f t="shared" si="132"/>
        <v>1.0000009866101984</v>
      </c>
      <c r="AO143">
        <f t="shared" si="133"/>
        <v>-1.4047130576239281E-3</v>
      </c>
      <c r="AP143" s="41" t="str">
        <f t="shared" si="134"/>
        <v>10,385394706426-36,4786765261821i</v>
      </c>
      <c r="AQ143">
        <f t="shared" si="135"/>
        <v>31.579250411524015</v>
      </c>
      <c r="AR143" s="43">
        <f t="shared" si="136"/>
        <v>-74.108469559834845</v>
      </c>
      <c r="AS143" t="str">
        <f t="shared" si="112"/>
        <v>-0,0000166666666666667</v>
      </c>
      <c r="AT143" t="str">
        <f t="shared" si="113"/>
        <v>3,70281805288717E-06i</v>
      </c>
      <c r="AU143">
        <f t="shared" si="137"/>
        <v>3.7028180528871698E-6</v>
      </c>
      <c r="AV143">
        <f t="shared" si="138"/>
        <v>1.5707963267948966</v>
      </c>
      <c r="AW143" t="str">
        <f t="shared" si="114"/>
        <v>1+0,00124611845172772i</v>
      </c>
      <c r="AX143">
        <f t="shared" si="139"/>
        <v>1.0000007764052965</v>
      </c>
      <c r="AY143">
        <f t="shared" si="140"/>
        <v>1.2461178067327599E-3</v>
      </c>
      <c r="AZ143" t="str">
        <f t="shared" si="115"/>
        <v>1+0,294974039216118i</v>
      </c>
      <c r="BA143">
        <f t="shared" si="141"/>
        <v>1.0425975656078772</v>
      </c>
      <c r="BB143">
        <f t="shared" si="142"/>
        <v>0.2868394669378434</v>
      </c>
      <c r="BC143" s="41" t="str">
        <f t="shared" si="143"/>
        <v>-1,32208973663572+4,50272380353429i</v>
      </c>
      <c r="BD143">
        <f t="shared" si="144"/>
        <v>13.428654930631499</v>
      </c>
      <c r="BE143" s="43">
        <f t="shared" si="145"/>
        <v>106.3632935622189</v>
      </c>
      <c r="BF143" s="41" t="str">
        <f t="shared" si="146"/>
        <v>47,7489036603596+29,7526087561669i</v>
      </c>
      <c r="BG143" s="20">
        <f t="shared" si="147"/>
        <v>35.003977993369162</v>
      </c>
      <c r="BH143" s="43">
        <f t="shared" si="148"/>
        <v>31.927264260897466</v>
      </c>
      <c r="BI143" s="41" t="str">
        <f t="shared" si="152"/>
        <v>150,522981363591+94,9906477950431i</v>
      </c>
      <c r="BJ143" s="20">
        <f t="shared" si="149"/>
        <v>45.00790534215551</v>
      </c>
      <c r="BK143" s="43">
        <f t="shared" si="153"/>
        <v>32.254824002384048</v>
      </c>
      <c r="BL143">
        <f t="shared" si="150"/>
        <v>35.003977993369162</v>
      </c>
      <c r="BM143" s="43">
        <f t="shared" si="151"/>
        <v>31.927264260897466</v>
      </c>
    </row>
    <row r="144" spans="14:65" x14ac:dyDescent="0.25">
      <c r="N144" s="9">
        <v>26</v>
      </c>
      <c r="O144" s="34">
        <f t="shared" si="154"/>
        <v>181.9700858609983</v>
      </c>
      <c r="P144" s="33" t="str">
        <f t="shared" si="103"/>
        <v>54,631621870174</v>
      </c>
      <c r="Q144" s="4" t="str">
        <f t="shared" si="104"/>
        <v>1+4,55697155881418i</v>
      </c>
      <c r="R144" s="4">
        <f t="shared" si="117"/>
        <v>4.6654034967879605</v>
      </c>
      <c r="S144" s="4">
        <f t="shared" si="118"/>
        <v>1.3547764295615197</v>
      </c>
      <c r="T144" s="4" t="str">
        <f t="shared" si="105"/>
        <v>1+0,0571675884914015i</v>
      </c>
      <c r="U144" s="4">
        <f t="shared" si="119"/>
        <v>1.0016327336773305</v>
      </c>
      <c r="V144" s="4">
        <f t="shared" si="120"/>
        <v>5.7105433227489455E-2</v>
      </c>
      <c r="W144" t="str">
        <f t="shared" si="106"/>
        <v>1-0,00454978410886112i</v>
      </c>
      <c r="X144" s="4">
        <f t="shared" si="121"/>
        <v>1.0000103502141553</v>
      </c>
      <c r="Y144" s="4">
        <f t="shared" si="122"/>
        <v>-4.5497527149286491E-3</v>
      </c>
      <c r="Z144" t="str">
        <f t="shared" si="107"/>
        <v>0,999999867547551+0,000625103537709717i</v>
      </c>
      <c r="AA144" s="4">
        <f t="shared" si="123"/>
        <v>1.0000000629247741</v>
      </c>
      <c r="AB144" s="4">
        <f t="shared" si="124"/>
        <v>6.2510353908554975E-4</v>
      </c>
      <c r="AC144" s="47" t="str">
        <f t="shared" si="125"/>
        <v>3,10536763436159-11,3106360376295i</v>
      </c>
      <c r="AD144" s="20">
        <f t="shared" si="126"/>
        <v>21.38535719816225</v>
      </c>
      <c r="AE144" s="43">
        <f t="shared" si="127"/>
        <v>-74.647568709418394</v>
      </c>
      <c r="AF144" t="str">
        <f t="shared" si="108"/>
        <v>171,265703090588</v>
      </c>
      <c r="AG144" t="str">
        <f t="shared" si="109"/>
        <v>1+4,51336126153903i</v>
      </c>
      <c r="AH144">
        <f t="shared" si="128"/>
        <v>4.6228162279244005</v>
      </c>
      <c r="AI144">
        <f t="shared" si="129"/>
        <v>1.3527543720514035</v>
      </c>
      <c r="AJ144" t="str">
        <f t="shared" si="110"/>
        <v>1+0,0571675884914015i</v>
      </c>
      <c r="AK144">
        <f t="shared" si="130"/>
        <v>1.0016327336773305</v>
      </c>
      <c r="AL144">
        <f t="shared" si="131"/>
        <v>5.7105433227489455E-2</v>
      </c>
      <c r="AM144" t="str">
        <f t="shared" si="111"/>
        <v>1-0,00143743397348919i</v>
      </c>
      <c r="AN144">
        <f t="shared" si="132"/>
        <v>1.0000010331076805</v>
      </c>
      <c r="AO144">
        <f t="shared" si="133"/>
        <v>-1.4374329834738538E-3</v>
      </c>
      <c r="AP144" s="41" t="str">
        <f t="shared" si="134"/>
        <v>10,0306028099735-35,7270700555615i</v>
      </c>
      <c r="AQ144">
        <f t="shared" si="135"/>
        <v>31.389454605731174</v>
      </c>
      <c r="AR144" s="43">
        <f t="shared" si="136"/>
        <v>-74.317574768499981</v>
      </c>
      <c r="AS144" t="str">
        <f t="shared" si="112"/>
        <v>-0,0000166666666666667</v>
      </c>
      <c r="AT144" t="str">
        <f t="shared" si="113"/>
        <v>0,0000037890677652101i</v>
      </c>
      <c r="AU144">
        <f t="shared" si="137"/>
        <v>3.7890677652100999E-6</v>
      </c>
      <c r="AV144">
        <f t="shared" si="138"/>
        <v>1.5707963267948966</v>
      </c>
      <c r="AW144" t="str">
        <f t="shared" si="114"/>
        <v>1+0,00127514427920471i</v>
      </c>
      <c r="AX144">
        <f t="shared" si="139"/>
        <v>1.000000812996136</v>
      </c>
      <c r="AY144">
        <f t="shared" si="140"/>
        <v>1.275143588080189E-3</v>
      </c>
      <c r="AZ144" t="str">
        <f t="shared" si="115"/>
        <v>1+0,3018448672346i</v>
      </c>
      <c r="BA144">
        <f t="shared" si="141"/>
        <v>1.044562264240803</v>
      </c>
      <c r="BB144">
        <f t="shared" si="142"/>
        <v>0.29314847264139926</v>
      </c>
      <c r="BC144" s="41" t="str">
        <f t="shared" si="143"/>
        <v>-1,32208963988305+4,40030517235536i</v>
      </c>
      <c r="BD144">
        <f t="shared" si="144"/>
        <v>13.245007131952764</v>
      </c>
      <c r="BE144" s="43">
        <f t="shared" si="145"/>
        <v>106.7231099071883</v>
      </c>
      <c r="BF144" s="41" t="str">
        <f t="shared" si="146"/>
        <v>45,6646758815924+28,6182399893841i</v>
      </c>
      <c r="BG144" s="20">
        <f t="shared" si="147"/>
        <v>34.630364330115015</v>
      </c>
      <c r="BH144" s="43">
        <f t="shared" si="148"/>
        <v>32.075541197769958</v>
      </c>
      <c r="BI144" s="41" t="str">
        <f t="shared" si="152"/>
        <v>143,948655101742+91,3721026104024i</v>
      </c>
      <c r="BJ144" s="20">
        <f t="shared" si="149"/>
        <v>44.634461737683949</v>
      </c>
      <c r="BK144" s="43">
        <f t="shared" si="153"/>
        <v>32.405535138688286</v>
      </c>
      <c r="BL144">
        <f t="shared" si="150"/>
        <v>34.630364330115015</v>
      </c>
      <c r="BM144" s="43">
        <f t="shared" si="151"/>
        <v>32.075541197769958</v>
      </c>
    </row>
    <row r="145" spans="14:65" x14ac:dyDescent="0.25">
      <c r="N145" s="9">
        <v>27</v>
      </c>
      <c r="O145" s="34">
        <f t="shared" si="154"/>
        <v>186.20871366628685</v>
      </c>
      <c r="P145" s="33" t="str">
        <f t="shared" si="103"/>
        <v>54,631621870174</v>
      </c>
      <c r="Q145" s="4" t="str">
        <f t="shared" si="104"/>
        <v>1+4,66311706215725i</v>
      </c>
      <c r="R145" s="4">
        <f t="shared" si="117"/>
        <v>4.7691362672272275</v>
      </c>
      <c r="S145" s="4">
        <f t="shared" si="118"/>
        <v>1.3595470438656301</v>
      </c>
      <c r="T145" s="4" t="str">
        <f t="shared" si="105"/>
        <v>1+0,058499192688841i</v>
      </c>
      <c r="U145" s="4">
        <f t="shared" si="119"/>
        <v>1.0017096163785422</v>
      </c>
      <c r="V145" s="4">
        <f t="shared" si="120"/>
        <v>5.8432598261132195E-2</v>
      </c>
      <c r="W145" t="str">
        <f t="shared" si="106"/>
        <v>1-0,00465576219498792i</v>
      </c>
      <c r="X145" s="4">
        <f t="shared" si="121"/>
        <v>1.0000108380020769</v>
      </c>
      <c r="Y145" s="4">
        <f t="shared" si="122"/>
        <v>-4.6557285558029007E-3</v>
      </c>
      <c r="Z145" t="str">
        <f t="shared" si="107"/>
        <v>0,99999986130526+0,000639664069588261i</v>
      </c>
      <c r="AA145" s="4">
        <f t="shared" si="123"/>
        <v>1.0000000658903285</v>
      </c>
      <c r="AB145" s="4">
        <f t="shared" si="124"/>
        <v>6.396640710624919E-4</v>
      </c>
      <c r="AC145" s="47" t="str">
        <f t="shared" si="125"/>
        <v>2,99860149084157-11,0762320340085i</v>
      </c>
      <c r="AD145" s="20">
        <f t="shared" si="126"/>
        <v>21.195017668716503</v>
      </c>
      <c r="AE145" s="43">
        <f t="shared" si="127"/>
        <v>-74.851770045025802</v>
      </c>
      <c r="AF145" t="str">
        <f t="shared" si="108"/>
        <v>171,265703090588</v>
      </c>
      <c r="AG145" t="str">
        <f t="shared" si="109"/>
        <v>1+4,61849095056431i</v>
      </c>
      <c r="AH145">
        <f t="shared" si="128"/>
        <v>4.7255114707769383</v>
      </c>
      <c r="AI145">
        <f t="shared" si="129"/>
        <v>1.3575668816120123</v>
      </c>
      <c r="AJ145" t="str">
        <f t="shared" si="110"/>
        <v>1+0,058499192688841i</v>
      </c>
      <c r="AK145">
        <f t="shared" si="130"/>
        <v>1.0017096163785422</v>
      </c>
      <c r="AL145">
        <f t="shared" si="131"/>
        <v>5.8432598261132195E-2</v>
      </c>
      <c r="AM145" t="str">
        <f t="shared" si="111"/>
        <v>1-0,00147091611193776i</v>
      </c>
      <c r="AN145">
        <f t="shared" si="132"/>
        <v>1.000001081796519</v>
      </c>
      <c r="AO145">
        <f t="shared" si="133"/>
        <v>-1.4709150511172768E-3</v>
      </c>
      <c r="AP145" s="41" t="str">
        <f t="shared" si="134"/>
        <v>9,69031530013712-34,9876456378103i</v>
      </c>
      <c r="AQ145">
        <f t="shared" si="135"/>
        <v>31.199277857916094</v>
      </c>
      <c r="AR145" s="43">
        <f t="shared" si="136"/>
        <v>-74.519188681209528</v>
      </c>
      <c r="AS145" t="str">
        <f t="shared" si="112"/>
        <v>-0,0000166666666666667</v>
      </c>
      <c r="AT145" t="str">
        <f t="shared" si="113"/>
        <v>0,0000038773264914164i</v>
      </c>
      <c r="AU145">
        <f t="shared" si="137"/>
        <v>3.8773264914164003E-6</v>
      </c>
      <c r="AV145">
        <f t="shared" si="138"/>
        <v>1.5707963267948966</v>
      </c>
      <c r="AW145" t="str">
        <f t="shared" si="114"/>
        <v>1+0,00130484620505707i</v>
      </c>
      <c r="AX145">
        <f t="shared" si="139"/>
        <v>1.0000008513114471</v>
      </c>
      <c r="AY145">
        <f t="shared" si="140"/>
        <v>1.3048454645038373E-3</v>
      </c>
      <c r="AZ145" t="str">
        <f t="shared" si="115"/>
        <v>1+0,30887573739708i</v>
      </c>
      <c r="BA145">
        <f t="shared" si="141"/>
        <v>1.0466156033389669</v>
      </c>
      <c r="BB145">
        <f t="shared" si="142"/>
        <v>0.299579650702815</v>
      </c>
      <c r="BC145" s="41" t="str">
        <f t="shared" si="143"/>
        <v>-1,32208953857058+4,30021964121208i</v>
      </c>
      <c r="BD145">
        <f t="shared" si="144"/>
        <v>13.062064250651373</v>
      </c>
      <c r="BE145" s="43">
        <f t="shared" si="145"/>
        <v>107.08988747524184</v>
      </c>
      <c r="BF145" s="41" t="str">
        <f t="shared" si="146"/>
        <v>43,665810881882+27,5384155260277i</v>
      </c>
      <c r="BG145" s="20">
        <f t="shared" si="147"/>
        <v>34.257081919367877</v>
      </c>
      <c r="BH145" s="43">
        <f t="shared" si="148"/>
        <v>32.238117430216029</v>
      </c>
      <c r="BI145" s="41" t="str">
        <f t="shared" si="152"/>
        <v>137,643096487718+87,9272844601512i</v>
      </c>
      <c r="BJ145" s="20">
        <f t="shared" si="149"/>
        <v>44.261342108567455</v>
      </c>
      <c r="BK145" s="43">
        <f t="shared" si="153"/>
        <v>32.570698794032396</v>
      </c>
      <c r="BL145">
        <f t="shared" si="150"/>
        <v>34.257081919367877</v>
      </c>
      <c r="BM145" s="43">
        <f t="shared" si="151"/>
        <v>32.238117430216029</v>
      </c>
    </row>
    <row r="146" spans="14:65" x14ac:dyDescent="0.25">
      <c r="N146" s="9">
        <v>28</v>
      </c>
      <c r="O146" s="34">
        <f t="shared" si="154"/>
        <v>190.54607179632498</v>
      </c>
      <c r="P146" s="33" t="str">
        <f t="shared" si="103"/>
        <v>54,631621870174</v>
      </c>
      <c r="Q146" s="4" t="str">
        <f t="shared" si="104"/>
        <v>1+4,77173501189037i</v>
      </c>
      <c r="R146" s="4">
        <f t="shared" si="117"/>
        <v>4.875392807118252</v>
      </c>
      <c r="S146" s="4">
        <f t="shared" si="118"/>
        <v>1.3642185167954106</v>
      </c>
      <c r="T146" s="4" t="str">
        <f t="shared" si="105"/>
        <v>1+0,059861813932573i</v>
      </c>
      <c r="U146" s="4">
        <f t="shared" si="119"/>
        <v>1.0017901161257772</v>
      </c>
      <c r="V146" s="4">
        <f t="shared" si="120"/>
        <v>5.9790463602498553E-2</v>
      </c>
      <c r="W146" t="str">
        <f t="shared" si="106"/>
        <v>1-0,00476420882785683i</v>
      </c>
      <c r="X146" s="4">
        <f t="shared" si="121"/>
        <v>1.0000113487784803</v>
      </c>
      <c r="Y146" s="4">
        <f t="shared" si="122"/>
        <v>-4.7641727828427625E-3</v>
      </c>
      <c r="Z146" t="str">
        <f t="shared" si="107"/>
        <v>0,999999854768778+0,000654563759823461i</v>
      </c>
      <c r="AA146" s="4">
        <f t="shared" si="123"/>
        <v>1.0000000689956439</v>
      </c>
      <c r="AB146" s="4">
        <f t="shared" si="124"/>
        <v>6.5456376140312787E-4</v>
      </c>
      <c r="AC146" s="47" t="str">
        <f t="shared" si="125"/>
        <v>2,89622675603832-10,845726012039i</v>
      </c>
      <c r="AD146" s="20">
        <f t="shared" si="126"/>
        <v>21.004322455378237</v>
      </c>
      <c r="AE146" s="43">
        <f t="shared" si="127"/>
        <v>-75.048692860698992</v>
      </c>
      <c r="AF146" t="str">
        <f t="shared" si="108"/>
        <v>171,265703090588</v>
      </c>
      <c r="AG146" t="str">
        <f t="shared" si="109"/>
        <v>1+4,72606942462457i</v>
      </c>
      <c r="AH146">
        <f t="shared" si="128"/>
        <v>4.8307072159644715</v>
      </c>
      <c r="AI146">
        <f t="shared" si="129"/>
        <v>1.3622795561660064</v>
      </c>
      <c r="AJ146" t="str">
        <f t="shared" si="110"/>
        <v>1+0,059861813932573i</v>
      </c>
      <c r="AK146">
        <f t="shared" si="130"/>
        <v>1.0017901161257772</v>
      </c>
      <c r="AL146">
        <f t="shared" si="131"/>
        <v>5.9790463602498553E-2</v>
      </c>
      <c r="AM146" t="str">
        <f t="shared" si="111"/>
        <v>1-0,00150517814957878i</v>
      </c>
      <c r="AN146">
        <f t="shared" si="132"/>
        <v>1.0000011327799894</v>
      </c>
      <c r="AO146">
        <f t="shared" si="133"/>
        <v>-1.5051770128892224E-3</v>
      </c>
      <c r="AP146" s="41" t="str">
        <f t="shared" si="134"/>
        <v>9,36399970138131-34,2604224235159i</v>
      </c>
      <c r="AQ146">
        <f t="shared" si="135"/>
        <v>31.008738402470147</v>
      </c>
      <c r="AR146" s="43">
        <f t="shared" si="136"/>
        <v>-74.713368155972049</v>
      </c>
      <c r="AS146" t="str">
        <f t="shared" si="112"/>
        <v>-0,0000166666666666667</v>
      </c>
      <c r="AT146" t="str">
        <f t="shared" si="113"/>
        <v>3,96764102745092E-06i</v>
      </c>
      <c r="AU146">
        <f t="shared" si="137"/>
        <v>3.9676410274509203E-6</v>
      </c>
      <c r="AV146">
        <f t="shared" si="138"/>
        <v>1.5707963267948966</v>
      </c>
      <c r="AW146" t="str">
        <f t="shared" si="114"/>
        <v>1+0,00133523997763904i</v>
      </c>
      <c r="AX146">
        <f t="shared" si="139"/>
        <v>1.0000008914325016</v>
      </c>
      <c r="AY146">
        <f t="shared" si="140"/>
        <v>1.3352391841219928E-3</v>
      </c>
      <c r="AZ146" t="str">
        <f t="shared" si="115"/>
        <v>1+0,316070377563985i</v>
      </c>
      <c r="BA146">
        <f t="shared" si="141"/>
        <v>1.0487614045022062</v>
      </c>
      <c r="BB146">
        <f t="shared" si="142"/>
        <v>0.3061342822848524</v>
      </c>
      <c r="BC146" s="41" t="str">
        <f t="shared" si="143"/>
        <v>-1,32208943248344+4,20241414343024i</v>
      </c>
      <c r="BD146">
        <f t="shared" si="144"/>
        <v>12.879853730472098</v>
      </c>
      <c r="BE146" s="43">
        <f t="shared" si="145"/>
        <v>107.46369876929802</v>
      </c>
      <c r="BF146" s="41" t="str">
        <f t="shared" si="146"/>
        <v>41,7491616005279+26,510164030284i</v>
      </c>
      <c r="BG146" s="20">
        <f t="shared" si="147"/>
        <v>33.884176185850329</v>
      </c>
      <c r="BH146" s="43">
        <f t="shared" si="148"/>
        <v>32.415005908598985</v>
      </c>
      <c r="BI146" s="41" t="str">
        <f t="shared" si="152"/>
        <v>131,596438701503+84,6467472227104i</v>
      </c>
      <c r="BJ146" s="20">
        <f t="shared" si="149"/>
        <v>43.888592132942222</v>
      </c>
      <c r="BK146" s="43">
        <f t="shared" si="153"/>
        <v>32.750330613326057</v>
      </c>
      <c r="BL146">
        <f t="shared" si="150"/>
        <v>33.884176185850329</v>
      </c>
      <c r="BM146" s="43">
        <f t="shared" si="151"/>
        <v>32.415005908598985</v>
      </c>
    </row>
    <row r="147" spans="14:65" x14ac:dyDescent="0.25">
      <c r="N147" s="9">
        <v>29</v>
      </c>
      <c r="O147" s="34">
        <f t="shared" si="154"/>
        <v>194.98445997580458</v>
      </c>
      <c r="P147" s="33" t="str">
        <f t="shared" ref="P147:P210" si="155">COMPLEX(Adc,0)</f>
        <v>54,631621870174</v>
      </c>
      <c r="Q147" s="4" t="str">
        <f t="shared" ref="Q147:Q210" si="156">IMSUM(COMPLEX(1,0),IMDIV(COMPLEX(0,2*PI()*O147),COMPLEX(wp_lf,0)))</f>
        <v>1+4,88288299868811i</v>
      </c>
      <c r="R147" s="4">
        <f t="shared" si="117"/>
        <v>4.9842297678655827</v>
      </c>
      <c r="S147" s="4">
        <f t="shared" si="118"/>
        <v>1.3687925092964639</v>
      </c>
      <c r="T147" s="4" t="str">
        <f t="shared" ref="T147:T210" si="157">IMSUM(COMPLEX(1,0),IMDIV(COMPLEX(0,2*PI()*O147),COMPLEX(wz_esr,0)))</f>
        <v>1+0,061256174702416i</v>
      </c>
      <c r="U147" s="4">
        <f t="shared" si="119"/>
        <v>1.0018744027767017</v>
      </c>
      <c r="V147" s="4">
        <f t="shared" si="120"/>
        <v>6.1179729169404423E-2</v>
      </c>
      <c r="W147" t="str">
        <f t="shared" ref="W147:W210" si="158">IMSUB(COMPLEX(1,0),IMDIV(COMPLEX(0,2*PI()*O147),COMPLEX(wz_rhp,0)))</f>
        <v>1-0,00487518150730798i</v>
      </c>
      <c r="X147" s="4">
        <f t="shared" si="121"/>
        <v>1.0000118836267544</v>
      </c>
      <c r="Y147" s="4">
        <f t="shared" si="122"/>
        <v>-4.8751428844043369E-3</v>
      </c>
      <c r="Z147" t="str">
        <f t="shared" ref="Z147:Z210" si="159">IMSUM(COMPLEX(1,0),IMDIV(COMPLEX(0,2*PI()*O147),COMPLEX(Q*(wsl/2),0)),IMDIV(IMPOWER(COMPLEX(0,2*PI()*O147),2),IMPOWER(COMPLEX(wsl/2,0),2)))</f>
        <v>0,999999847924241+0,000669810508428287i</v>
      </c>
      <c r="AA147" s="4">
        <f t="shared" si="123"/>
        <v>1.0000000722473086</v>
      </c>
      <c r="AB147" s="4">
        <f t="shared" si="124"/>
        <v>6.6981051012093048E-4</v>
      </c>
      <c r="AC147" s="47" t="str">
        <f t="shared" si="125"/>
        <v>2,79807994697996-10,6191165717022i</v>
      </c>
      <c r="AD147" s="20">
        <f t="shared" si="126"/>
        <v>20.813288990648601</v>
      </c>
      <c r="AE147" s="43">
        <f t="shared" si="127"/>
        <v>-75.238395965751607</v>
      </c>
      <c r="AF147" t="str">
        <f t="shared" ref="AF147:AF210" si="160">COMPLEX($B$72,0)</f>
        <v>171,265703090588</v>
      </c>
      <c r="AG147" t="str">
        <f t="shared" ref="AG147:AG210" si="161">IMSUM(COMPLEX(1,0),IMDIV(COMPLEX(0,2*PI()*O147),COMPLEX(wp_lf_DCM,0)))</f>
        <v>1+4,83615372325063i</v>
      </c>
      <c r="AH147">
        <f t="shared" si="128"/>
        <v>4.9384595609269626</v>
      </c>
      <c r="AI147">
        <f t="shared" si="129"/>
        <v>1.3668940567261452</v>
      </c>
      <c r="AJ147" t="str">
        <f t="shared" ref="AJ147:AJ210" si="162">IMSUM(COMPLEX(1,0),IMDIV(COMPLEX(0,2*PI()*O147),COMPLEX(wz1_dcm,0)))</f>
        <v>1+0,061256174702416i</v>
      </c>
      <c r="AK147">
        <f t="shared" si="130"/>
        <v>1.0018744027767017</v>
      </c>
      <c r="AL147">
        <f t="shared" si="131"/>
        <v>6.1179729169404423E-2</v>
      </c>
      <c r="AM147" t="str">
        <f t="shared" ref="AM147:AM210" si="163">IMSUB(COMPLEX(1,0),IMDIV(COMPLEX(0,2*PI()*O147),COMPLEX(wz2_dcm,0)))</f>
        <v>1-0,00154023825259807i</v>
      </c>
      <c r="AN147">
        <f t="shared" si="132"/>
        <v>1.0000011861662339</v>
      </c>
      <c r="AO147">
        <f t="shared" si="133"/>
        <v>-1.5402370346133431E-3</v>
      </c>
      <c r="AP147" s="41" t="str">
        <f t="shared" si="134"/>
        <v>9,05113794833482-33,5454026467036i</v>
      </c>
      <c r="AQ147">
        <f t="shared" si="135"/>
        <v>30.817853917804694</v>
      </c>
      <c r="AR147" s="43">
        <f t="shared" si="136"/>
        <v>-74.900169300296653</v>
      </c>
      <c r="AS147" t="str">
        <f t="shared" ref="AS147:AS210" si="164">COMPLEX(Adc_ea,0)</f>
        <v>-0,0000166666666666667</v>
      </c>
      <c r="AT147" t="str">
        <f t="shared" ref="AT147:AT210" si="165">COMPLEX(0,2*PI()*O147*wp0_ea)</f>
        <v>4,06005925927614E-06i</v>
      </c>
      <c r="AU147">
        <f t="shared" si="137"/>
        <v>4.0600592592761404E-6</v>
      </c>
      <c r="AV147">
        <f t="shared" si="138"/>
        <v>1.5707963267948966</v>
      </c>
      <c r="AW147" t="str">
        <f t="shared" ref="AW147:AW210" si="166">IMSUM(COMPLEX(1,0),IMDIV(COMPLEX(0,2*PI()*O147),COMPLEX(wp1_ea,0)))</f>
        <v>1+0,00136634171213114i</v>
      </c>
      <c r="AX147">
        <f t="shared" si="139"/>
        <v>1.0000009334444016</v>
      </c>
      <c r="AY147">
        <f t="shared" si="140"/>
        <v>1.3663408618623477E-3</v>
      </c>
      <c r="AZ147" t="str">
        <f t="shared" ref="AZ147:AZ210" si="167">IMSUM(COMPLEX(1,0),IMDIV(COMPLEX(0,2*PI()*O147),COMPLEX(wz_ea,0)))</f>
        <v>1+0,323432602428756i</v>
      </c>
      <c r="BA147">
        <f t="shared" si="141"/>
        <v>1.0510036385825874</v>
      </c>
      <c r="BB147">
        <f t="shared" si="142"/>
        <v>0.31281358906661544</v>
      </c>
      <c r="BC147" s="41" t="str">
        <f t="shared" si="143"/>
        <v>-1,32208932139655+4,10683682123943i</v>
      </c>
      <c r="BD147">
        <f t="shared" si="144"/>
        <v>12.698403826940059</v>
      </c>
      <c r="BE147" s="43">
        <f t="shared" si="145"/>
        <v>107.84461286309572</v>
      </c>
      <c r="BF147" s="41" t="str">
        <f t="shared" si="146"/>
        <v>39,9116673273844+25,5306783771416i</v>
      </c>
      <c r="BG147" s="20">
        <f t="shared" si="147"/>
        <v>33.511692817588653</v>
      </c>
      <c r="BH147" s="43">
        <f t="shared" si="148"/>
        <v>32.606216897344112</v>
      </c>
      <c r="BI147" s="41" t="str">
        <f t="shared" si="152"/>
        <v>125,799081944804+81,5215652214933i</v>
      </c>
      <c r="BJ147" s="20">
        <f t="shared" si="149"/>
        <v>43.516257744744721</v>
      </c>
      <c r="BK147" s="43">
        <f t="shared" si="153"/>
        <v>32.944443562799137</v>
      </c>
      <c r="BL147">
        <f t="shared" si="150"/>
        <v>33.511692817588653</v>
      </c>
      <c r="BM147" s="43">
        <f t="shared" si="151"/>
        <v>32.606216897344112</v>
      </c>
    </row>
    <row r="148" spans="14:65" x14ac:dyDescent="0.25">
      <c r="N148" s="9">
        <v>30</v>
      </c>
      <c r="O148" s="34">
        <f t="shared" si="154"/>
        <v>199.52623149688802</v>
      </c>
      <c r="P148" s="33" t="str">
        <f t="shared" si="155"/>
        <v>54,631621870174</v>
      </c>
      <c r="Q148" s="4" t="str">
        <f t="shared" si="156"/>
        <v>1+4,99661995468438i</v>
      </c>
      <c r="R148" s="4">
        <f t="shared" ref="R148:R211" si="168">IMABS(Q148)</f>
        <v>5.0957051495892234</v>
      </c>
      <c r="S148" s="4">
        <f t="shared" ref="S148:S211" si="169">IMARGUMENT(Q148)</f>
        <v>1.3732706806456125</v>
      </c>
      <c r="T148" s="4" t="str">
        <f t="shared" si="157"/>
        <v>1+0,062683014306908i</v>
      </c>
      <c r="U148" s="4">
        <f t="shared" ref="U148:U211" si="170">IMABS(T148)</f>
        <v>1.0019626541356719</v>
      </c>
      <c r="V148" s="4">
        <f t="shared" ref="V148:V211" si="171">IMARGUMENT(T148)</f>
        <v>6.2601110105813304E-2</v>
      </c>
      <c r="W148" t="str">
        <f t="shared" si="158"/>
        <v>1-0,00498873907252498i</v>
      </c>
      <c r="X148" s="4">
        <f t="shared" ref="X148:X211" si="172">IMABS(W148)</f>
        <v>1.0000124436813442</v>
      </c>
      <c r="Y148" s="4">
        <f t="shared" ref="Y148:Y211" si="173">IMARGUMENT(W148)</f>
        <v>-4.9886976873659162E-3</v>
      </c>
      <c r="Z148" t="str">
        <f t="shared" si="159"/>
        <v>0,999999840757132+0,000685412399430676i</v>
      </c>
      <c r="AA148" s="4">
        <f t="shared" ref="AA148:AA211" si="174">IMABS(Z148)</f>
        <v>1.0000000756522205</v>
      </c>
      <c r="AB148" s="4">
        <f t="shared" ref="AB148:AB211" si="175">IMARGUMENT(Z148)</f>
        <v>6.8541240124437555E-4</v>
      </c>
      <c r="AC148" s="47" t="str">
        <f t="shared" ref="AC148:AC211" si="176">(IMDIV(IMPRODUCT(P148,T148,W148),IMPRODUCT(Q148,Z148)))</f>
        <v>2,70400220778907-10,396397433914i</v>
      </c>
      <c r="AD148" s="20">
        <f t="shared" ref="AD148:AD211" si="177">20*LOG(IMABS(AC148))</f>
        <v>20.621934178661995</v>
      </c>
      <c r="AE148" s="43">
        <f t="shared" ref="AE148:AE211" si="178">(180/PI())*IMARGUMENT(AC148)</f>
        <v>-75.420937288724588</v>
      </c>
      <c r="AF148" t="str">
        <f t="shared" si="160"/>
        <v>171,265703090588</v>
      </c>
      <c r="AG148" t="str">
        <f t="shared" si="161"/>
        <v>1+4,94880221459486i</v>
      </c>
      <c r="AH148">
        <f t="shared" ref="AH148:AH211" si="179">IMABS(AG148)</f>
        <v>5.0488259386890126</v>
      </c>
      <c r="AI148">
        <f t="shared" ref="AI148:AI211" si="180">IMARGUMENT(AG148)</f>
        <v>1.3714120435186665</v>
      </c>
      <c r="AJ148" t="str">
        <f t="shared" si="162"/>
        <v>1+0,062683014306908i</v>
      </c>
      <c r="AK148">
        <f t="shared" ref="AK148:AK211" si="181">IMABS(AJ148)</f>
        <v>1.0019626541356719</v>
      </c>
      <c r="AL148">
        <f t="shared" ref="AL148:AL211" si="182">IMARGUMENT(AJ148)</f>
        <v>6.2601110105813304E-2</v>
      </c>
      <c r="AM148" t="str">
        <f t="shared" si="163"/>
        <v>1-0,00157611501032636i</v>
      </c>
      <c r="AN148">
        <f t="shared" ref="AN148:AN211" si="183">IMABS(AM148)</f>
        <v>1.0000012420684916</v>
      </c>
      <c r="AO148">
        <f t="shared" ref="AO148:AO211" si="184">IMARGUMENT(AM148)</f>
        <v>-1.5761137052322993E-3</v>
      </c>
      <c r="AP148" s="41" t="str">
        <f t="shared" ref="AP148:AP211" si="185">(IMDIV(IMPRODUCT(AF148,AJ148,AM148),IMPRODUCT(AG148)))</f>
        <v>8,75122645453136-32,8425727868911i</v>
      </c>
      <c r="AQ148">
        <f t="shared" ref="AQ148:AQ211" si="186">20*LOG(IMABS(AP148))</f>
        <v>30.626641546414653</v>
      </c>
      <c r="AR148" s="43">
        <f t="shared" ref="AR148:AR211" si="187">(180/PI())*IMARGUMENT(AP148)</f>
        <v>-75.079647328476852</v>
      </c>
      <c r="AS148" t="str">
        <f t="shared" si="164"/>
        <v>-0,0000166666666666667</v>
      </c>
      <c r="AT148" t="str">
        <f t="shared" si="165"/>
        <v>4,15463018826186E-06i</v>
      </c>
      <c r="AU148">
        <f t="shared" ref="AU148:AU211" si="188">IMABS(AT148)</f>
        <v>4.1546301882618601E-6</v>
      </c>
      <c r="AV148">
        <f t="shared" ref="AV148:AV211" si="189">IMARGUMENT(AT148)</f>
        <v>1.5707963267948966</v>
      </c>
      <c r="AW148" t="str">
        <f t="shared" si="166"/>
        <v>1+0,00139816789908468i</v>
      </c>
      <c r="AX148">
        <f t="shared" ref="AX148:AX211" si="190">IMABS(AW148)</f>
        <v>1.0000009774362593</v>
      </c>
      <c r="AY148">
        <f t="shared" ref="AY148:AY211" si="191">IMARGUMENT(AW148)</f>
        <v>1.3981669880053025E-3</v>
      </c>
      <c r="AZ148" t="str">
        <f t="shared" si="167"/>
        <v>1+0,330966315540474i</v>
      </c>
      <c r="BA148">
        <f t="shared" ref="BA148:BA211" si="192">IMABS(AZ148)</f>
        <v>1.0533464302034903</v>
      </c>
      <c r="BB148">
        <f t="shared" ref="BB148:BB211" si="193">IMARGUMENT(AZ148)</f>
        <v>0.31961872778882106</v>
      </c>
      <c r="BC148" s="41" t="str">
        <f t="shared" ref="BC148:BC211" si="194">IMPRODUCT(AS148,IMDIV(AZ148,IMPRODUCT(AT148,AW148)))</f>
        <v>-1,32208920507434+4,01343699827734i</v>
      </c>
      <c r="BD148">
        <f t="shared" ref="BD148:BD211" si="195">20*LOG(IMABS(BC148))</f>
        <v>12.5177436089742</v>
      </c>
      <c r="BE148" s="43">
        <f t="shared" ref="BE148:BE211" si="196">(180/PI())*IMARGUMENT(BC148)</f>
        <v>108.2326950881729</v>
      </c>
      <c r="BF148" s="41" t="str">
        <f t="shared" ref="BF148:BF211" si="197">IMPRODUCT(AC148,BC148)</f>
        <v>38,1503539806509+24,5973073232045i</v>
      </c>
      <c r="BG148" s="20">
        <f t="shared" ref="BG148:BG211" si="198">20*LOG(IMABS(BF148))</f>
        <v>33.139677787636188</v>
      </c>
      <c r="BH148" s="43">
        <f t="shared" ref="BH148:BH211" si="199">(180/PI())*IMARGUMENT(BF148)</f>
        <v>32.811757799448316</v>
      </c>
      <c r="BI148" s="41" t="str">
        <f t="shared" si="152"/>
        <v>120,241694714828+78,5433069813366i</v>
      </c>
      <c r="BJ148" s="20">
        <f t="shared" ref="BJ148:BJ211" si="200">20*LOG(IMABS(BI148))</f>
        <v>43.144385155388832</v>
      </c>
      <c r="BK148" s="43">
        <f t="shared" si="153"/>
        <v>33.15304775969615</v>
      </c>
      <c r="BL148">
        <f t="shared" ref="BL148:BL211" si="201">IF($B$31=0,BJ148,BG148)</f>
        <v>33.139677787636188</v>
      </c>
      <c r="BM148" s="43">
        <f t="shared" ref="BM148:BM211" si="202">IF($B$31=0,BK148,BH148)</f>
        <v>32.811757799448316</v>
      </c>
    </row>
    <row r="149" spans="14:65" x14ac:dyDescent="0.25">
      <c r="N149" s="9">
        <v>31</v>
      </c>
      <c r="O149" s="34">
        <f t="shared" si="154"/>
        <v>204.17379446695315</v>
      </c>
      <c r="P149" s="33" t="str">
        <f t="shared" si="155"/>
        <v>54,631621870174</v>
      </c>
      <c r="Q149" s="4" t="str">
        <f t="shared" si="156"/>
        <v>1+5,11300618471869i</v>
      </c>
      <c r="R149" s="4">
        <f t="shared" si="168"/>
        <v>5.2098783330296277</v>
      </c>
      <c r="S149" s="4">
        <f t="shared" si="169"/>
        <v>1.3776546864452772</v>
      </c>
      <c r="T149" s="4" t="str">
        <f t="shared" si="157"/>
        <v>1+0,064143089275293i</v>
      </c>
      <c r="U149" s="4">
        <f t="shared" si="170"/>
        <v>1.0020550563226445</v>
      </c>
      <c r="V149" s="4">
        <f t="shared" si="171"/>
        <v>6.4055337060547765E-2</v>
      </c>
      <c r="W149" t="str">
        <f t="shared" si="158"/>
        <v>1-0,00510494173323199i</v>
      </c>
      <c r="X149" s="4">
        <f t="shared" si="172"/>
        <v>1.0000130301301577</v>
      </c>
      <c r="Y149" s="4">
        <f t="shared" si="173"/>
        <v>-5.1048973882663095E-3</v>
      </c>
      <c r="Z149" t="str">
        <f t="shared" si="159"/>
        <v>0,999999833252247+0,000701377705159746i</v>
      </c>
      <c r="AA149" s="4">
        <f t="shared" si="174"/>
        <v>1.0000000792176005</v>
      </c>
      <c r="AB149" s="4">
        <f t="shared" si="175"/>
        <v>7.0137770710315987E-4</v>
      </c>
      <c r="AC149" s="47" t="str">
        <f t="shared" si="176"/>
        <v>2,61383930865186-10,1775577898046i</v>
      </c>
      <c r="AD149" s="20">
        <f t="shared" si="177"/>
        <v>20.430274415454441</v>
      </c>
      <c r="AE149" s="43">
        <f t="shared" si="178"/>
        <v>-75.596373748532443</v>
      </c>
      <c r="AF149" t="str">
        <f t="shared" si="160"/>
        <v>171,265703090588</v>
      </c>
      <c r="AG149" t="str">
        <f t="shared" si="161"/>
        <v>1+5,06407462637838i</v>
      </c>
      <c r="AH149">
        <f t="shared" si="179"/>
        <v>5.1618651494909598</v>
      </c>
      <c r="AI149">
        <f t="shared" si="180"/>
        <v>1.3758351739149057</v>
      </c>
      <c r="AJ149" t="str">
        <f t="shared" si="162"/>
        <v>1+0,064143089275293i</v>
      </c>
      <c r="AK149">
        <f t="shared" si="181"/>
        <v>1.0020550563226445</v>
      </c>
      <c r="AL149">
        <f t="shared" si="182"/>
        <v>6.4055337060547765E-2</v>
      </c>
      <c r="AM149" t="str">
        <f t="shared" si="163"/>
        <v>1-0,00161282744509546i</v>
      </c>
      <c r="AN149">
        <f t="shared" si="183"/>
        <v>1.0000013006053381</v>
      </c>
      <c r="AO149">
        <f t="shared" si="184"/>
        <v>-1.6128260466620767E-3</v>
      </c>
      <c r="AP149" s="41" t="str">
        <f t="shared" si="185"/>
        <v>8,46377612932746-32,1519046830869i</v>
      </c>
      <c r="AQ149">
        <f t="shared" si="186"/>
        <v>30.435117915125126</v>
      </c>
      <c r="AR149" s="43">
        <f t="shared" si="187"/>
        <v>-75.251856427676913</v>
      </c>
      <c r="AS149" t="str">
        <f t="shared" si="164"/>
        <v>-0,0000166666666666667</v>
      </c>
      <c r="AT149" t="str">
        <f t="shared" si="165"/>
        <v>4,25140395716644E-06i</v>
      </c>
      <c r="AU149">
        <f t="shared" si="188"/>
        <v>4.2514039571664398E-6</v>
      </c>
      <c r="AV149">
        <f t="shared" si="189"/>
        <v>1.5707963267948966</v>
      </c>
      <c r="AW149" t="str">
        <f t="shared" si="166"/>
        <v>1+0,00143073541316526i</v>
      </c>
      <c r="AX149">
        <f t="shared" si="190"/>
        <v>1.0000010235013874</v>
      </c>
      <c r="AY149">
        <f t="shared" si="191"/>
        <v>1.4307344369261725E-3</v>
      </c>
      <c r="AZ149" t="str">
        <f t="shared" si="167"/>
        <v>1+0,338675511373547i</v>
      </c>
      <c r="BA149">
        <f t="shared" si="192"/>
        <v>1.0557940623076707</v>
      </c>
      <c r="BB149">
        <f t="shared" si="193"/>
        <v>0.32655078459878917</v>
      </c>
      <c r="BC149" s="41" t="str">
        <f t="shared" si="194"/>
        <v>-1,32208908327005+3,92216515272052i</v>
      </c>
      <c r="BD149">
        <f t="shared" si="195"/>
        <v>12.337902958244777</v>
      </c>
      <c r="BE149" s="43">
        <f t="shared" si="196"/>
        <v>108.62800670935638</v>
      </c>
      <c r="BF149" s="41" t="str">
        <f t="shared" si="197"/>
        <v>36,4623340875801+23,7075474994561i</v>
      </c>
      <c r="BG149" s="20">
        <f t="shared" si="198"/>
        <v>32.76817737369921</v>
      </c>
      <c r="BH149" s="43">
        <f t="shared" si="199"/>
        <v>33.03163296082392</v>
      </c>
      <c r="BI149" s="41" t="str">
        <f t="shared" si="152"/>
        <v>114,91521411777+75,7040099827243i</v>
      </c>
      <c r="BJ149" s="20">
        <f t="shared" si="200"/>
        <v>42.773020873369916</v>
      </c>
      <c r="BK149" s="43">
        <f t="shared" si="153"/>
        <v>33.376150281679386</v>
      </c>
      <c r="BL149">
        <f t="shared" si="201"/>
        <v>32.76817737369921</v>
      </c>
      <c r="BM149" s="43">
        <f t="shared" si="202"/>
        <v>33.03163296082392</v>
      </c>
    </row>
    <row r="150" spans="14:65" x14ac:dyDescent="0.25">
      <c r="N150" s="9">
        <v>32</v>
      </c>
      <c r="O150" s="34">
        <f t="shared" si="154"/>
        <v>208.92961308540396</v>
      </c>
      <c r="P150" s="33" t="str">
        <f t="shared" si="155"/>
        <v>54,631621870174</v>
      </c>
      <c r="Q150" s="4" t="str">
        <f t="shared" si="156"/>
        <v>1+5,23210339831082i</v>
      </c>
      <c r="R150" s="4">
        <f t="shared" si="168"/>
        <v>5.3268101121229803</v>
      </c>
      <c r="S150" s="4">
        <f t="shared" si="169"/>
        <v>1.3819461767635057</v>
      </c>
      <c r="T150" s="4" t="str">
        <f t="shared" si="157"/>
        <v>1+0,0656371737586465i</v>
      </c>
      <c r="U150" s="4">
        <f t="shared" si="170"/>
        <v>1.0021518041589421</v>
      </c>
      <c r="V150" s="4">
        <f t="shared" si="171"/>
        <v>6.5543156467200464E-2</v>
      </c>
      <c r="W150" t="str">
        <f t="shared" si="158"/>
        <v>1-0,00522385110161789i</v>
      </c>
      <c r="X150" s="4">
        <f t="shared" si="172"/>
        <v>1.0000136442170835</v>
      </c>
      <c r="Y150" s="4">
        <f t="shared" si="173"/>
        <v>-5.2238035851660883E-3</v>
      </c>
      <c r="Z150" t="str">
        <f t="shared" si="159"/>
        <v>0,999999825393667+0,000717714890631929i</v>
      </c>
      <c r="AA150" s="4">
        <f t="shared" si="174"/>
        <v>1.0000000829510109</v>
      </c>
      <c r="AB150" s="4">
        <f t="shared" si="175"/>
        <v>7.1771489271433469E-4</v>
      </c>
      <c r="AC150" s="47" t="str">
        <f t="shared" si="176"/>
        <v>2,52744163047778-9,962582634638i</v>
      </c>
      <c r="AD150" s="20">
        <f t="shared" si="177"/>
        <v>20.238325609339284</v>
      </c>
      <c r="AE150" s="43">
        <f t="shared" si="178"/>
        <v>-75.764761133934286</v>
      </c>
      <c r="AF150" t="str">
        <f t="shared" si="160"/>
        <v>171,265703090588</v>
      </c>
      <c r="AG150" t="str">
        <f t="shared" si="161"/>
        <v>1+5,1820320775598i</v>
      </c>
      <c r="AH150">
        <f t="shared" si="179"/>
        <v>5.277637393082129</v>
      </c>
      <c r="AI150">
        <f t="shared" si="180"/>
        <v>1.3801651005113056</v>
      </c>
      <c r="AJ150" t="str">
        <f t="shared" si="162"/>
        <v>1+0,0656371737586465i</v>
      </c>
      <c r="AK150">
        <f t="shared" si="181"/>
        <v>1.0021518041589421</v>
      </c>
      <c r="AL150">
        <f t="shared" si="182"/>
        <v>6.5543156467200464E-2</v>
      </c>
      <c r="AM150" t="str">
        <f t="shared" si="163"/>
        <v>1-0,00165039502232427i</v>
      </c>
      <c r="AN150">
        <f t="shared" si="183"/>
        <v>1.0000013619009374</v>
      </c>
      <c r="AO150">
        <f t="shared" si="184"/>
        <v>-1.6503935238760131E-3</v>
      </c>
      <c r="AP150" s="41" t="str">
        <f t="shared" si="185"/>
        <v>8,18831234799893-31,4733565996314i</v>
      </c>
      <c r="AQ150">
        <f t="shared" si="186"/>
        <v>30.243299155466548</v>
      </c>
      <c r="AR150" s="43">
        <f t="shared" si="187"/>
        <v>-75.416849632464547</v>
      </c>
      <c r="AS150" t="str">
        <f t="shared" si="164"/>
        <v>-0,0000166666666666667</v>
      </c>
      <c r="AT150" t="str">
        <f t="shared" si="165"/>
        <v>4,35043187672308E-06i</v>
      </c>
      <c r="AU150">
        <f t="shared" si="188"/>
        <v>4.3504318767230797E-6</v>
      </c>
      <c r="AV150">
        <f t="shared" si="189"/>
        <v>1.5707963267948966</v>
      </c>
      <c r="AW150" t="str">
        <f t="shared" si="166"/>
        <v>1+0,00146406152209992i</v>
      </c>
      <c r="AX150">
        <f t="shared" si="190"/>
        <v>1.0000010717374961</v>
      </c>
      <c r="AY150">
        <f t="shared" si="191"/>
        <v>1.4640604760409516E-3</v>
      </c>
      <c r="AZ150" t="str">
        <f t="shared" si="167"/>
        <v>1+0,346564277445653i</v>
      </c>
      <c r="BA150">
        <f t="shared" si="192"/>
        <v>1.0583509807249329</v>
      </c>
      <c r="BB150">
        <f t="shared" si="193"/>
        <v>0.33361076920269978</v>
      </c>
      <c r="BC150" s="41" t="str">
        <f t="shared" si="194"/>
        <v>-1,32208895572533+3,83297289102724i</v>
      </c>
      <c r="BD150">
        <f t="shared" si="195"/>
        <v>12.158912566079213</v>
      </c>
      <c r="BE150" s="43">
        <f t="shared" si="196"/>
        <v>109.03060458919862</v>
      </c>
      <c r="BF150" s="41" t="str">
        <f t="shared" si="197"/>
        <v>34,8448064972911+22,8590357250309i</v>
      </c>
      <c r="BG150" s="20">
        <f t="shared" si="198"/>
        <v>32.397238175418494</v>
      </c>
      <c r="BH150" s="43">
        <f t="shared" si="199"/>
        <v>33.26584345526436</v>
      </c>
      <c r="BI150" s="41" t="str">
        <f t="shared" si="152"/>
        <v>109,810845314702+72,9961564131211i</v>
      </c>
      <c r="BJ150" s="20">
        <f t="shared" si="200"/>
        <v>42.402211721545768</v>
      </c>
      <c r="BK150" s="43">
        <f t="shared" si="153"/>
        <v>33.613754956733999</v>
      </c>
      <c r="BL150">
        <f t="shared" si="201"/>
        <v>32.397238175418494</v>
      </c>
      <c r="BM150" s="43">
        <f t="shared" si="202"/>
        <v>33.26584345526436</v>
      </c>
    </row>
    <row r="151" spans="14:65" x14ac:dyDescent="0.25">
      <c r="N151" s="9">
        <v>33</v>
      </c>
      <c r="O151" s="34">
        <f t="shared" si="154"/>
        <v>213.79620895022339</v>
      </c>
      <c r="P151" s="33" t="str">
        <f t="shared" si="155"/>
        <v>54,631621870174</v>
      </c>
      <c r="Q151" s="4" t="str">
        <f t="shared" si="156"/>
        <v>1+5,35397474237977i</v>
      </c>
      <c r="R151" s="4">
        <f t="shared" si="168"/>
        <v>5.44656272726575</v>
      </c>
      <c r="S151" s="4">
        <f t="shared" si="169"/>
        <v>1.3861467944130763</v>
      </c>
      <c r="T151" s="4" t="str">
        <f t="shared" si="157"/>
        <v>1+0,067166059940337i</v>
      </c>
      <c r="U151" s="4">
        <f t="shared" si="170"/>
        <v>1.0022531015706106</v>
      </c>
      <c r="V151" s="4">
        <f t="shared" si="171"/>
        <v>6.7065330824893743E-2</v>
      </c>
      <c r="W151" t="str">
        <f t="shared" si="158"/>
        <v>1-0,00534553022500367i</v>
      </c>
      <c r="X151" s="4">
        <f t="shared" si="172"/>
        <v>1.0000142872446305</v>
      </c>
      <c r="Y151" s="4">
        <f t="shared" si="173"/>
        <v>-5.3454793102475353E-3</v>
      </c>
      <c r="Z151" t="str">
        <f t="shared" si="159"/>
        <v>0,999999817164724+0,000734432618039199i</v>
      </c>
      <c r="AA151" s="4">
        <f t="shared" si="174"/>
        <v>1.0000000868603722</v>
      </c>
      <c r="AB151" s="4">
        <f t="shared" si="175"/>
        <v>7.3443262027053657E-4</v>
      </c>
      <c r="AC151" s="47" t="str">
        <f t="shared" si="176"/>
        <v>2,44466413671765-9,7514530864653i</v>
      </c>
      <c r="AD151" s="20">
        <f t="shared" si="177"/>
        <v>20.046103201345868</v>
      </c>
      <c r="AE151" s="43">
        <f t="shared" si="178"/>
        <v>-75.926153990972367</v>
      </c>
      <c r="AF151" t="str">
        <f t="shared" si="160"/>
        <v>171,265703090588</v>
      </c>
      <c r="AG151" t="str">
        <f t="shared" si="161"/>
        <v>1+5,30273711074101i</v>
      </c>
      <c r="AH151">
        <f t="shared" si="179"/>
        <v>5.3962043016948416</v>
      </c>
      <c r="AI151">
        <f t="shared" si="180"/>
        <v>1.3844034693512217</v>
      </c>
      <c r="AJ151" t="str">
        <f t="shared" si="162"/>
        <v>1+0,067166059940337i</v>
      </c>
      <c r="AK151">
        <f t="shared" si="181"/>
        <v>1.0022531015706106</v>
      </c>
      <c r="AL151">
        <f t="shared" si="182"/>
        <v>6.7065330824893743E-2</v>
      </c>
      <c r="AM151" t="str">
        <f t="shared" si="163"/>
        <v>1-0,00168883766083946i</v>
      </c>
      <c r="AN151">
        <f t="shared" si="183"/>
        <v>1.0000014260853054</v>
      </c>
      <c r="AO151">
        <f t="shared" si="184"/>
        <v>-1.6888360552233487E-3</v>
      </c>
      <c r="AP151" s="41" t="str">
        <f t="shared" si="185"/>
        <v>7,92437487973403-30,8068742440726i</v>
      </c>
      <c r="AQ151">
        <f t="shared" si="186"/>
        <v>30.051200924132651</v>
      </c>
      <c r="AR151" s="43">
        <f t="shared" si="187"/>
        <v>-75.574678707432597</v>
      </c>
      <c r="AS151" t="str">
        <f t="shared" si="164"/>
        <v>-0,0000166666666666667</v>
      </c>
      <c r="AT151" t="str">
        <f t="shared" si="165"/>
        <v>4,45176645284554E-06i</v>
      </c>
      <c r="AU151">
        <f t="shared" si="188"/>
        <v>4.4517664528455398E-6</v>
      </c>
      <c r="AV151">
        <f t="shared" si="189"/>
        <v>1.5707963267948966</v>
      </c>
      <c r="AW151" t="str">
        <f t="shared" si="166"/>
        <v>1+0,00149816389583274i</v>
      </c>
      <c r="AX151">
        <f t="shared" si="190"/>
        <v>1.0000011222468996</v>
      </c>
      <c r="AY151">
        <f t="shared" si="191"/>
        <v>1.4981627749604291E-3</v>
      </c>
      <c r="AZ151" t="str">
        <f t="shared" si="167"/>
        <v>1+0,354636796484979i</v>
      </c>
      <c r="BA151">
        <f t="shared" si="192"/>
        <v>1.0610217987492663</v>
      </c>
      <c r="BB151">
        <f t="shared" si="193"/>
        <v>0.34079960883445942</v>
      </c>
      <c r="BC151" s="41" t="str">
        <f t="shared" si="194"/>
        <v>-1,32208882216963+3,74581292227856i</v>
      </c>
      <c r="BD151">
        <f t="shared" si="195"/>
        <v>11.980803927715622</v>
      </c>
      <c r="BE151" s="43">
        <f t="shared" si="196"/>
        <v>109.44054084189506</v>
      </c>
      <c r="BF151" s="41" t="str">
        <f t="shared" si="197"/>
        <v>33,2950558531615+22,0495416394752i</v>
      </c>
      <c r="BG151" s="20">
        <f t="shared" si="198"/>
        <v>32.026907129061485</v>
      </c>
      <c r="BH151" s="43">
        <f t="shared" si="199"/>
        <v>33.514386850922634</v>
      </c>
      <c r="BI151" s="41" t="str">
        <f t="shared" si="152"/>
        <v>104,92006018728+70,4126499095612i</v>
      </c>
      <c r="BJ151" s="20">
        <f t="shared" si="200"/>
        <v>42.032004851848299</v>
      </c>
      <c r="BK151" s="43">
        <f t="shared" si="153"/>
        <v>33.86586213446234</v>
      </c>
      <c r="BL151">
        <f t="shared" si="201"/>
        <v>32.026907129061485</v>
      </c>
      <c r="BM151" s="43">
        <f t="shared" si="202"/>
        <v>33.514386850922634</v>
      </c>
    </row>
    <row r="152" spans="14:65" x14ac:dyDescent="0.25">
      <c r="N152" s="9">
        <v>34</v>
      </c>
      <c r="O152" s="34">
        <f t="shared" si="154"/>
        <v>218.77616239495524</v>
      </c>
      <c r="P152" s="33" t="str">
        <f t="shared" si="155"/>
        <v>54,631621870174</v>
      </c>
      <c r="Q152" s="4" t="str">
        <f t="shared" si="156"/>
        <v>1+5,47868483472538i</v>
      </c>
      <c r="R152" s="4">
        <f t="shared" si="168"/>
        <v>5.5691998992898304</v>
      </c>
      <c r="S152" s="4">
        <f t="shared" si="169"/>
        <v>1.3902581733632429</v>
      </c>
      <c r="T152" s="4" t="str">
        <f t="shared" si="157"/>
        <v>1+0,068730558456056i</v>
      </c>
      <c r="U152" s="4">
        <f t="shared" si="170"/>
        <v>1.0023591620101457</v>
      </c>
      <c r="V152" s="4">
        <f t="shared" si="171"/>
        <v>6.8622638979534786E-2</v>
      </c>
      <c r="W152" t="str">
        <f t="shared" si="158"/>
        <v>1-0,00547004361927122i</v>
      </c>
      <c r="X152" s="4">
        <f t="shared" si="172"/>
        <v>1.000014960576689</v>
      </c>
      <c r="Y152" s="4">
        <f t="shared" si="173"/>
        <v>-5.4699890631711816E-3</v>
      </c>
      <c r="Z152" t="str">
        <f t="shared" si="159"/>
        <v>0,999999808547963+0,00075153975134192i</v>
      </c>
      <c r="AA152" s="4">
        <f t="shared" si="174"/>
        <v>1.0000000909539761</v>
      </c>
      <c r="AB152" s="4">
        <f t="shared" si="175"/>
        <v>7.5153975373284108E-4</v>
      </c>
      <c r="AC152" s="47" t="str">
        <f t="shared" si="176"/>
        <v>2,36536633371622-9,54414668967955i</v>
      </c>
      <c r="AD152" s="20">
        <f t="shared" si="177"/>
        <v>19.85362218568191</v>
      </c>
      <c r="AE152" s="43">
        <f t="shared" si="178"/>
        <v>-76.080605518031291</v>
      </c>
      <c r="AF152" t="str">
        <f t="shared" si="160"/>
        <v>171,265703090588</v>
      </c>
      <c r="AG152" t="str">
        <f t="shared" si="161"/>
        <v>1+5,42625372532837i</v>
      </c>
      <c r="AH152">
        <f t="shared" si="179"/>
        <v>5.5176289737205062</v>
      </c>
      <c r="AI152">
        <f t="shared" si="180"/>
        <v>1.3885519182820649</v>
      </c>
      <c r="AJ152" t="str">
        <f t="shared" si="162"/>
        <v>1+0,068730558456056i</v>
      </c>
      <c r="AK152">
        <f t="shared" si="181"/>
        <v>1.0023591620101457</v>
      </c>
      <c r="AL152">
        <f t="shared" si="182"/>
        <v>6.8622638979534786E-2</v>
      </c>
      <c r="AM152" t="str">
        <f t="shared" si="163"/>
        <v>1-0,00172817574343684i</v>
      </c>
      <c r="AN152">
        <f t="shared" si="183"/>
        <v>1.0000014932945851</v>
      </c>
      <c r="AO152">
        <f t="shared" si="184"/>
        <v>-1.7281740229883186E-3</v>
      </c>
      <c r="AP152" s="41" t="str">
        <f t="shared" si="185"/>
        <v>7,67151777795069-30,1523917375064i</v>
      </c>
      <c r="AQ152">
        <f t="shared" si="186"/>
        <v>29.858838423479185</v>
      </c>
      <c r="AR152" s="43">
        <f t="shared" si="187"/>
        <v>-75.725394037560804</v>
      </c>
      <c r="AS152" t="str">
        <f t="shared" si="164"/>
        <v>-0,0000166666666666667</v>
      </c>
      <c r="AT152" t="str">
        <f t="shared" si="165"/>
        <v>4,55546141446738E-06i</v>
      </c>
      <c r="AU152">
        <f t="shared" si="188"/>
        <v>4.5554614144673799E-6</v>
      </c>
      <c r="AV152">
        <f t="shared" si="189"/>
        <v>1.5707963267948966</v>
      </c>
      <c r="AW152" t="str">
        <f t="shared" si="166"/>
        <v>1+0,00153306061589368i</v>
      </c>
      <c r="AX152">
        <f t="shared" si="190"/>
        <v>1.0000011751367355</v>
      </c>
      <c r="AY152">
        <f t="shared" si="191"/>
        <v>1.5330594148574362E-3</v>
      </c>
      <c r="AZ152" t="str">
        <f t="shared" si="167"/>
        <v>1+0,362897348647975i</v>
      </c>
      <c r="BA152">
        <f t="shared" si="192"/>
        <v>1.0638113017146085</v>
      </c>
      <c r="BB152">
        <f t="shared" si="193"/>
        <v>0.34811814205276415</v>
      </c>
      <c r="BC152" s="41" t="str">
        <f t="shared" si="194"/>
        <v>-1,32208868231968+3,66063903310412i</v>
      </c>
      <c r="BD152">
        <f t="shared" si="195"/>
        <v>11.803609333700393</v>
      </c>
      <c r="BE152" s="43">
        <f t="shared" si="196"/>
        <v>109.85786247734492</v>
      </c>
      <c r="BF152" s="41" t="str">
        <f t="shared" si="197"/>
        <v>31,8104518505662+21,2769606496162i</v>
      </c>
      <c r="BG152" s="20">
        <f t="shared" si="198"/>
        <v>31.657231519382304</v>
      </c>
      <c r="BH152" s="43">
        <f t="shared" si="199"/>
        <v>33.777256959313732</v>
      </c>
      <c r="BI152" s="41" t="str">
        <f t="shared" si="152"/>
        <v>100,234595305319+67,9467932821451i</v>
      </c>
      <c r="BJ152" s="20">
        <f t="shared" si="200"/>
        <v>41.662447757179564</v>
      </c>
      <c r="BK152" s="43">
        <f t="shared" si="153"/>
        <v>34.132468439784176</v>
      </c>
      <c r="BL152">
        <f t="shared" si="201"/>
        <v>31.657231519382304</v>
      </c>
      <c r="BM152" s="43">
        <f t="shared" si="202"/>
        <v>33.777256959313732</v>
      </c>
    </row>
    <row r="153" spans="14:65" x14ac:dyDescent="0.25">
      <c r="N153" s="9">
        <v>35</v>
      </c>
      <c r="O153" s="34">
        <f t="shared" si="154"/>
        <v>223.87211385683412</v>
      </c>
      <c r="P153" s="33" t="str">
        <f t="shared" si="155"/>
        <v>54,631621870174</v>
      </c>
      <c r="Q153" s="4" t="str">
        <f t="shared" si="156"/>
        <v>1+5,60629979828934i</v>
      </c>
      <c r="R153" s="4">
        <f t="shared" si="168"/>
        <v>5.6947868641678854</v>
      </c>
      <c r="S153" s="4">
        <f t="shared" si="169"/>
        <v>1.3942819372776909</v>
      </c>
      <c r="T153" s="4" t="str">
        <f t="shared" si="157"/>
        <v>1+0,070331498823625i</v>
      </c>
      <c r="U153" s="4">
        <f t="shared" si="170"/>
        <v>1.0024702088973905</v>
      </c>
      <c r="V153" s="4">
        <f t="shared" si="171"/>
        <v>7.021587640515084E-2</v>
      </c>
      <c r="W153" t="str">
        <f t="shared" si="158"/>
        <v>1-0,00559745730307031i</v>
      </c>
      <c r="X153" s="4">
        <f t="shared" si="172"/>
        <v>1.0000156656414236</v>
      </c>
      <c r="Y153" s="4">
        <f t="shared" si="173"/>
        <v>-5.5973988452053597E-3</v>
      </c>
      <c r="Z153" t="str">
        <f t="shared" si="159"/>
        <v>0,999999799525107+0,000769045360968609i</v>
      </c>
      <c r="AA153" s="4">
        <f t="shared" si="174"/>
        <v>1.0000000952405064</v>
      </c>
      <c r="AB153" s="4">
        <f t="shared" si="175"/>
        <v>7.6904536353052631E-4</v>
      </c>
      <c r="AC153" s="47" t="str">
        <f t="shared" si="176"/>
        <v>2,2894122208863-9,34063770370365i</v>
      </c>
      <c r="AD153" s="20">
        <f t="shared" si="177"/>
        <v>19.660897130185848</v>
      </c>
      <c r="AE153" s="43">
        <f t="shared" si="178"/>
        <v>-76.228167468174533</v>
      </c>
      <c r="AF153" t="str">
        <f t="shared" si="160"/>
        <v>171,265703090588</v>
      </c>
      <c r="AG153" t="str">
        <f t="shared" si="161"/>
        <v>1+5,55264741146587i</v>
      </c>
      <c r="AH153">
        <f t="shared" si="179"/>
        <v>5.6419760081073216</v>
      </c>
      <c r="AI153">
        <f t="shared" si="180"/>
        <v>1.3926120754413114</v>
      </c>
      <c r="AJ153" t="str">
        <f t="shared" si="162"/>
        <v>1+0,070331498823625i</v>
      </c>
      <c r="AK153">
        <f t="shared" si="181"/>
        <v>1.0024702088973905</v>
      </c>
      <c r="AL153">
        <f t="shared" si="182"/>
        <v>7.021587640515084E-2</v>
      </c>
      <c r="AM153" t="str">
        <f t="shared" si="163"/>
        <v>1-0,00176843012768851i</v>
      </c>
      <c r="AN153">
        <f t="shared" si="183"/>
        <v>1.0000015636713357</v>
      </c>
      <c r="AO153">
        <f t="shared" si="184"/>
        <v>-1.7684282841948613E-3</v>
      </c>
      <c r="AP153" s="41" t="str">
        <f t="shared" si="185"/>
        <v>7,42930923708596-29,509832538027i</v>
      </c>
      <c r="AQ153">
        <f t="shared" si="186"/>
        <v>29.666226422027435</v>
      </c>
      <c r="AR153" s="43">
        <f t="shared" si="187"/>
        <v>-75.869044525969898</v>
      </c>
      <c r="AS153" t="str">
        <f t="shared" si="164"/>
        <v>-0,0000166666666666667</v>
      </c>
      <c r="AT153" t="str">
        <f t="shared" si="165"/>
        <v>4,66157174202985E-06i</v>
      </c>
      <c r="AU153">
        <f t="shared" si="188"/>
        <v>4.66157174202985E-6</v>
      </c>
      <c r="AV153">
        <f t="shared" si="189"/>
        <v>1.5707963267948966</v>
      </c>
      <c r="AW153" t="str">
        <f t="shared" si="166"/>
        <v>1+0,00156877018498562i</v>
      </c>
      <c r="AX153">
        <f t="shared" si="190"/>
        <v>1.0000012305191894</v>
      </c>
      <c r="AY153">
        <f t="shared" si="191"/>
        <v>1.5687688980521842E-3</v>
      </c>
      <c r="AZ153" t="str">
        <f t="shared" si="167"/>
        <v>1+0,37135031378874i</v>
      </c>
      <c r="BA153">
        <f t="shared" si="192"/>
        <v>1.0667244515576624</v>
      </c>
      <c r="BB153">
        <f t="shared" si="193"/>
        <v>0.3555671123800857</v>
      </c>
      <c r="BC153" s="41" t="str">
        <f t="shared" si="194"/>
        <v>-1,32208853587884+3,57740606317909i</v>
      </c>
      <c r="BD153">
        <f t="shared" si="195"/>
        <v>11.627361858222864</v>
      </c>
      <c r="BE153" s="43">
        <f t="shared" si="196"/>
        <v>110.28261103614302</v>
      </c>
      <c r="BF153" s="41" t="str">
        <f t="shared" si="197"/>
        <v>30,388448304054+20,5393071859792i</v>
      </c>
      <c r="BG153" s="20">
        <f t="shared" si="198"/>
        <v>31.288258988408725</v>
      </c>
      <c r="BH153" s="43">
        <f t="shared" si="199"/>
        <v>34.054443567968455</v>
      </c>
      <c r="BI153" s="41" t="str">
        <f t="shared" si="152"/>
        <v>95,7464492730873+65,5922672042136i</v>
      </c>
      <c r="BJ153" s="20">
        <f t="shared" si="200"/>
        <v>41.293588280250304</v>
      </c>
      <c r="BK153" s="43">
        <f t="shared" si="153"/>
        <v>34.413566510173119</v>
      </c>
      <c r="BL153">
        <f t="shared" si="201"/>
        <v>31.288258988408725</v>
      </c>
      <c r="BM153" s="43">
        <f t="shared" si="202"/>
        <v>34.054443567968455</v>
      </c>
    </row>
    <row r="154" spans="14:65" x14ac:dyDescent="0.25">
      <c r="N154" s="9">
        <v>36</v>
      </c>
      <c r="O154" s="34">
        <f t="shared" si="154"/>
        <v>229.08676527677744</v>
      </c>
      <c r="P154" s="33" t="str">
        <f t="shared" si="155"/>
        <v>54,631621870174</v>
      </c>
      <c r="Q154" s="4" t="str">
        <f t="shared" si="156"/>
        <v>1+5,73688729621448i</v>
      </c>
      <c r="R154" s="4">
        <f t="shared" si="168"/>
        <v>5.8233904084705745</v>
      </c>
      <c r="S154" s="4">
        <f t="shared" si="169"/>
        <v>1.3982196981724517</v>
      </c>
      <c r="T154" s="4" t="str">
        <f t="shared" si="157"/>
        <v>1+0,0719697298828175i</v>
      </c>
      <c r="U154" s="4">
        <f t="shared" si="170"/>
        <v>1.0025864760804455</v>
      </c>
      <c r="V154" s="4">
        <f t="shared" si="171"/>
        <v>7.1845855484875945E-2</v>
      </c>
      <c r="W154" t="str">
        <f t="shared" si="158"/>
        <v>1-0,00572783883282257i</v>
      </c>
      <c r="X154" s="4">
        <f t="shared" si="172"/>
        <v>1.0000164039343029</v>
      </c>
      <c r="Y154" s="4">
        <f t="shared" si="173"/>
        <v>-5.7277761941472273E-3</v>
      </c>
      <c r="Z154" t="str">
        <f t="shared" si="159"/>
        <v>0,999999790077016+0,0007869587286252i</v>
      </c>
      <c r="AA154" s="4">
        <f t="shared" si="174"/>
        <v>1.0000000997290535</v>
      </c>
      <c r="AB154" s="4">
        <f t="shared" si="175"/>
        <v>7.8695873137034399E-4</v>
      </c>
      <c r="AC154" s="47" t="str">
        <f t="shared" si="176"/>
        <v>2,21667023190381-9,14089737709645i</v>
      </c>
      <c r="AD154" s="20">
        <f t="shared" si="177"/>
        <v>19.46794219673966</v>
      </c>
      <c r="AE154" s="43">
        <f t="shared" si="178"/>
        <v>-76.368890058425748</v>
      </c>
      <c r="AF154" t="str">
        <f t="shared" si="160"/>
        <v>171,265703090588</v>
      </c>
      <c r="AG154" t="str">
        <f t="shared" si="161"/>
        <v>1+5,68198518475889i</v>
      </c>
      <c r="AH154">
        <f t="shared" si="179"/>
        <v>5.7693115395010102</v>
      </c>
      <c r="AI154">
        <f t="shared" si="180"/>
        <v>1.3965855578650799</v>
      </c>
      <c r="AJ154" t="str">
        <f t="shared" si="162"/>
        <v>1+0,0719697298828175i</v>
      </c>
      <c r="AK154">
        <f t="shared" si="181"/>
        <v>1.0025864760804455</v>
      </c>
      <c r="AL154">
        <f t="shared" si="182"/>
        <v>7.1845855484875945E-2</v>
      </c>
      <c r="AM154" t="str">
        <f t="shared" si="163"/>
        <v>1-0,00180962215700181i</v>
      </c>
      <c r="AN154">
        <f t="shared" si="183"/>
        <v>1.000001637364835</v>
      </c>
      <c r="AO154">
        <f t="shared" si="184"/>
        <v>-1.809620181662951E-3</v>
      </c>
      <c r="AP154" s="41" t="str">
        <f t="shared" si="185"/>
        <v>7,19733141972716-28,8791103181162i</v>
      </c>
      <c r="AQ154">
        <f t="shared" si="186"/>
        <v>29.473379274942136</v>
      </c>
      <c r="AR154" s="43">
        <f t="shared" si="187"/>
        <v>-76.005677498733462</v>
      </c>
      <c r="AS154" t="str">
        <f t="shared" si="164"/>
        <v>-0,0000166666666666667</v>
      </c>
      <c r="AT154" t="str">
        <f t="shared" si="165"/>
        <v>4,77015369663313E-06i</v>
      </c>
      <c r="AU154">
        <f t="shared" si="188"/>
        <v>4.7701536966331303E-6</v>
      </c>
      <c r="AV154">
        <f t="shared" si="189"/>
        <v>1.5707963267948966</v>
      </c>
      <c r="AW154" t="str">
        <f t="shared" si="166"/>
        <v>1+0,00160531153679477i</v>
      </c>
      <c r="AX154">
        <f t="shared" si="190"/>
        <v>1.0000012885117349</v>
      </c>
      <c r="AY154">
        <f t="shared" si="191"/>
        <v>1.6053101578208449E-3</v>
      </c>
      <c r="AZ154" t="str">
        <f t="shared" si="167"/>
        <v>1+0,380000173781276i</v>
      </c>
      <c r="BA154">
        <f t="shared" si="192"/>
        <v>1.0697663913555147</v>
      </c>
      <c r="BB154">
        <f t="shared" si="193"/>
        <v>0.36314716179978163</v>
      </c>
      <c r="BC154" s="41" t="str">
        <f t="shared" si="194"/>
        <v>-1,32208838253648+3,49606988127967i</v>
      </c>
      <c r="BD154">
        <f t="shared" si="195"/>
        <v>11.452095344181119</v>
      </c>
      <c r="BE154" s="43">
        <f t="shared" si="196"/>
        <v>110.71482221642934</v>
      </c>
      <c r="BF154" s="41" t="str">
        <f t="shared" si="197"/>
        <v>29,0265820464208+19,8347082627055i</v>
      </c>
      <c r="BG154" s="20">
        <f t="shared" si="198"/>
        <v>30.920037540920788</v>
      </c>
      <c r="BH154" s="43">
        <f t="shared" si="199"/>
        <v>34.345932158003535</v>
      </c>
      <c r="BI154" s="41" t="str">
        <f t="shared" si="152"/>
        <v>91,4478795260329+63,3431098516668i</v>
      </c>
      <c r="BJ154" s="20">
        <f t="shared" si="200"/>
        <v>40.92547461912325</v>
      </c>
      <c r="BK154" s="43">
        <f t="shared" si="153"/>
        <v>34.709144717695899</v>
      </c>
      <c r="BL154">
        <f t="shared" si="201"/>
        <v>30.920037540920788</v>
      </c>
      <c r="BM154" s="43">
        <f t="shared" si="202"/>
        <v>34.345932158003535</v>
      </c>
    </row>
    <row r="155" spans="14:65" x14ac:dyDescent="0.25">
      <c r="N155" s="9">
        <v>37</v>
      </c>
      <c r="O155" s="34">
        <f t="shared" si="154"/>
        <v>234.42288153199232</v>
      </c>
      <c r="P155" s="33" t="str">
        <f t="shared" si="155"/>
        <v>54,631621870174</v>
      </c>
      <c r="Q155" s="4" t="str">
        <f t="shared" si="156"/>
        <v>1+5,87051656772072i</v>
      </c>
      <c r="R155" s="4">
        <f t="shared" si="168"/>
        <v>5.9550789055967561</v>
      </c>
      <c r="S155" s="4">
        <f t="shared" si="169"/>
        <v>1.4020730551876195</v>
      </c>
      <c r="T155" s="4" t="str">
        <f t="shared" si="157"/>
        <v>1+0,0736461202454255i</v>
      </c>
      <c r="U155" s="4">
        <f t="shared" si="170"/>
        <v>1.0027082083174566</v>
      </c>
      <c r="V155" s="4">
        <f t="shared" si="171"/>
        <v>7.351340579110853E-2</v>
      </c>
      <c r="W155" t="str">
        <f t="shared" si="158"/>
        <v>1-0,00586125733854088i</v>
      </c>
      <c r="X155" s="4">
        <f t="shared" si="172"/>
        <v>1.0000171770212694</v>
      </c>
      <c r="Y155" s="4">
        <f t="shared" si="173"/>
        <v>-5.8611902200532608E-3</v>
      </c>
      <c r="Z155" t="str">
        <f t="shared" si="159"/>
        <v>0,99999978018365+0,000805289352216335i</v>
      </c>
      <c r="AA155" s="4">
        <f t="shared" si="174"/>
        <v>1.0000001044291391</v>
      </c>
      <c r="AB155" s="4">
        <f t="shared" si="175"/>
        <v>8.0528935515780979E-4</v>
      </c>
      <c r="AC155" s="47" t="str">
        <f t="shared" si="176"/>
        <v>2,14701316803848-8,94489420740776i</v>
      </c>
      <c r="AD155" s="20">
        <f t="shared" si="177"/>
        <v>19.274771161617259</v>
      </c>
      <c r="AE155" s="43">
        <f t="shared" si="178"/>
        <v>-76.502821885670187</v>
      </c>
      <c r="AF155" t="str">
        <f t="shared" si="160"/>
        <v>171,265703090588</v>
      </c>
      <c r="AG155" t="str">
        <f t="shared" si="161"/>
        <v>1+5,81433562180681i</v>
      </c>
      <c r="AH155">
        <f t="shared" si="179"/>
        <v>5.8997032741496067</v>
      </c>
      <c r="AI155">
        <f t="shared" si="180"/>
        <v>1.4004739702130593</v>
      </c>
      <c r="AJ155" t="str">
        <f t="shared" si="162"/>
        <v>1+0,0736461202454255i</v>
      </c>
      <c r="AK155">
        <f t="shared" si="181"/>
        <v>1.0027082083174566</v>
      </c>
      <c r="AL155">
        <f t="shared" si="182"/>
        <v>7.351340579110853E-2</v>
      </c>
      <c r="AM155" t="str">
        <f t="shared" si="163"/>
        <v>1-0,00185177367193592i</v>
      </c>
      <c r="AN155">
        <f t="shared" si="183"/>
        <v>1.0000017145313962</v>
      </c>
      <c r="AO155">
        <f t="shared" si="184"/>
        <v>-1.8517715553223941E-3</v>
      </c>
      <c r="AP155" s="41" t="str">
        <f t="shared" si="185"/>
        <v>6,97518025768541-28,2601297969459i</v>
      </c>
      <c r="AQ155">
        <f t="shared" si="186"/>
        <v>29.280310944455415</v>
      </c>
      <c r="AR155" s="43">
        <f t="shared" si="187"/>
        <v>-76.135338616417741</v>
      </c>
      <c r="AS155" t="str">
        <f t="shared" si="164"/>
        <v>-0,0000166666666666667</v>
      </c>
      <c r="AT155" t="str">
        <f t="shared" si="165"/>
        <v>4,88126484986682E-06i</v>
      </c>
      <c r="AU155">
        <f t="shared" si="188"/>
        <v>4.8812648498668197E-6</v>
      </c>
      <c r="AV155">
        <f t="shared" si="189"/>
        <v>1.5707963267948966</v>
      </c>
      <c r="AW155" t="str">
        <f t="shared" si="166"/>
        <v>1+0,00164270404602953i</v>
      </c>
      <c r="AX155">
        <f t="shared" si="190"/>
        <v>1.0000013492373812</v>
      </c>
      <c r="AY155">
        <f t="shared" si="191"/>
        <v>1.6427025684324554E-3</v>
      </c>
      <c r="AZ155" t="str">
        <f t="shared" si="167"/>
        <v>1+0,388851514895846i</v>
      </c>
      <c r="BA155">
        <f t="shared" si="192"/>
        <v>1.0729424498251499</v>
      </c>
      <c r="BB155">
        <f t="shared" si="193"/>
        <v>0.37085882413003013</v>
      </c>
      <c r="BC155" s="41" t="str">
        <f t="shared" si="194"/>
        <v>-1,32208822196735+3,41658736188406i</v>
      </c>
      <c r="BD155">
        <f t="shared" si="195"/>
        <v>11.277844384772235</v>
      </c>
      <c r="BE155" s="43">
        <f t="shared" si="196"/>
        <v>111.15452549366869</v>
      </c>
      <c r="BF155" s="41" t="str">
        <f t="shared" si="197"/>
        <v>27,7224716805468+19,1613973340767i</v>
      </c>
      <c r="BG155" s="20">
        <f t="shared" si="198"/>
        <v>30.552615546389493</v>
      </c>
      <c r="BH155" s="43">
        <f t="shared" si="199"/>
        <v>34.651703607998492</v>
      </c>
      <c r="BI155" s="41" t="str">
        <f t="shared" si="152"/>
        <v>87,3313986446634+61,1936974710819i</v>
      </c>
      <c r="BJ155" s="20">
        <f t="shared" si="200"/>
        <v>40.558155329227645</v>
      </c>
      <c r="BK155" s="43">
        <f t="shared" si="153"/>
        <v>35.019186877250959</v>
      </c>
      <c r="BL155">
        <f t="shared" si="201"/>
        <v>30.552615546389493</v>
      </c>
      <c r="BM155" s="43">
        <f t="shared" si="202"/>
        <v>34.651703607998492</v>
      </c>
    </row>
    <row r="156" spans="14:65" x14ac:dyDescent="0.25">
      <c r="N156" s="9">
        <v>38</v>
      </c>
      <c r="O156" s="34">
        <f t="shared" si="154"/>
        <v>239.88329190194912</v>
      </c>
      <c r="P156" s="33" t="str">
        <f t="shared" si="155"/>
        <v>54,631621870174</v>
      </c>
      <c r="Q156" s="4" t="str">
        <f t="shared" si="156"/>
        <v>1+6,00725846481671i</v>
      </c>
      <c r="R156" s="4">
        <f t="shared" si="168"/>
        <v>6.0899223527982693</v>
      </c>
      <c r="S156" s="4">
        <f t="shared" si="169"/>
        <v>1.4058435934668716</v>
      </c>
      <c r="T156" s="4" t="str">
        <f t="shared" si="157"/>
        <v>1+0,07536155875581i</v>
      </c>
      <c r="U156" s="4">
        <f t="shared" si="170"/>
        <v>1.002835661780187</v>
      </c>
      <c r="V156" s="4">
        <f t="shared" si="171"/>
        <v>7.5219374364321606E-2</v>
      </c>
      <c r="W156" t="str">
        <f t="shared" si="158"/>
        <v>1-0,00599778356048305i</v>
      </c>
      <c r="X156" s="4">
        <f t="shared" si="172"/>
        <v>1.0000179865420613</v>
      </c>
      <c r="Y156" s="4">
        <f t="shared" si="173"/>
        <v>-5.9977116417976907E-3</v>
      </c>
      <c r="Z156" t="str">
        <f t="shared" si="159"/>
        <v>0,999999769824025+0,000824046950881287i</v>
      </c>
      <c r="AA156" s="4">
        <f t="shared" si="174"/>
        <v>1.0000001093507342</v>
      </c>
      <c r="AB156" s="4">
        <f t="shared" si="175"/>
        <v>8.2404695403313314E-4</v>
      </c>
      <c r="AC156" s="47" t="str">
        <f t="shared" si="176"/>
        <v>2,08031812465303-8,75259418715116i</v>
      </c>
      <c r="AD156" s="20">
        <f t="shared" si="177"/>
        <v>19.08139743574802</v>
      </c>
      <c r="AE156" s="43">
        <f t="shared" si="178"/>
        <v>-76.630009848865242</v>
      </c>
      <c r="AF156" t="str">
        <f t="shared" si="160"/>
        <v>171,265703090588</v>
      </c>
      <c r="AG156" t="str">
        <f t="shared" si="161"/>
        <v>1+5,94976889656329i</v>
      </c>
      <c r="AH156">
        <f t="shared" si="179"/>
        <v>6.0332205265937331</v>
      </c>
      <c r="AI156">
        <f t="shared" si="180"/>
        <v>1.404278903603728</v>
      </c>
      <c r="AJ156" t="str">
        <f t="shared" si="162"/>
        <v>1+0,07536155875581i</v>
      </c>
      <c r="AK156">
        <f t="shared" si="181"/>
        <v>1.002835661780187</v>
      </c>
      <c r="AL156">
        <f t="shared" si="182"/>
        <v>7.5219374364321606E-2</v>
      </c>
      <c r="AM156" t="str">
        <f t="shared" si="163"/>
        <v>1-0,00189490702178204i</v>
      </c>
      <c r="AN156">
        <f t="shared" si="183"/>
        <v>1.0000017953346989</v>
      </c>
      <c r="AO156">
        <f t="shared" si="184"/>
        <v>-1.8949047537900052E-3</v>
      </c>
      <c r="AP156" s="41" t="str">
        <f t="shared" si="185"/>
        <v>6,76246523035358-27,6527875287087i</v>
      </c>
      <c r="AQ156">
        <f t="shared" si="186"/>
        <v>29.08703502021671</v>
      </c>
      <c r="AR156" s="43">
        <f t="shared" si="187"/>
        <v>-76.258071792033419</v>
      </c>
      <c r="AS156" t="str">
        <f t="shared" si="164"/>
        <v>-0,0000166666666666667</v>
      </c>
      <c r="AT156" t="str">
        <f t="shared" si="165"/>
        <v>4,99496411433508E-06i</v>
      </c>
      <c r="AU156">
        <f t="shared" si="188"/>
        <v>4.99496411433508E-6</v>
      </c>
      <c r="AV156">
        <f t="shared" si="189"/>
        <v>1.5707963267948966</v>
      </c>
      <c r="AW156" t="str">
        <f t="shared" si="166"/>
        <v>1+0,00168096753869326i</v>
      </c>
      <c r="AX156">
        <f t="shared" si="190"/>
        <v>1.000001412824935</v>
      </c>
      <c r="AY156">
        <f t="shared" si="191"/>
        <v>1.68096595541959E-3</v>
      </c>
      <c r="AZ156" t="str">
        <f t="shared" si="167"/>
        <v>1+0,397909030230677i</v>
      </c>
      <c r="BA156">
        <f t="shared" si="192"/>
        <v>1.076258145771319</v>
      </c>
      <c r="BB156">
        <f t="shared" si="193"/>
        <v>0.37870251829591339</v>
      </c>
      <c r="BC156" s="41" t="str">
        <f t="shared" si="194"/>
        <v>-1,32208805383089+3,33891636230672i</v>
      </c>
      <c r="BD156">
        <f t="shared" si="195"/>
        <v>11.104644301404633</v>
      </c>
      <c r="BE156" s="43">
        <f t="shared" si="196"/>
        <v>111.60174373458096</v>
      </c>
      <c r="BF156" s="41" t="str">
        <f t="shared" si="197"/>
        <v>26,473816203338+18,5177084400695i</v>
      </c>
      <c r="BG156" s="20">
        <f t="shared" si="198"/>
        <v>30.186041737152646</v>
      </c>
      <c r="BH156" s="43">
        <f t="shared" si="199"/>
        <v>34.971733885715821</v>
      </c>
      <c r="BI156" s="41" t="str">
        <f t="shared" si="152"/>
        <v>83,3897702474995+59,1387258539874i</v>
      </c>
      <c r="BJ156" s="20">
        <f t="shared" si="200"/>
        <v>40.191679321621343</v>
      </c>
      <c r="BK156" s="43">
        <f t="shared" si="153"/>
        <v>35.343671942547523</v>
      </c>
      <c r="BL156">
        <f t="shared" si="201"/>
        <v>30.186041737152646</v>
      </c>
      <c r="BM156" s="43">
        <f t="shared" si="202"/>
        <v>34.971733885715821</v>
      </c>
    </row>
    <row r="157" spans="14:65" x14ac:dyDescent="0.25">
      <c r="N157" s="9">
        <v>39</v>
      </c>
      <c r="O157" s="34">
        <f t="shared" si="154"/>
        <v>245.4708915685033</v>
      </c>
      <c r="P157" s="33" t="str">
        <f t="shared" si="155"/>
        <v>54,631621870174</v>
      </c>
      <c r="Q157" s="4" t="str">
        <f t="shared" si="156"/>
        <v>1+6,14718548986616i</v>
      </c>
      <c r="R157" s="4">
        <f t="shared" si="168"/>
        <v>6.2279924090208283</v>
      </c>
      <c r="S157" s="4">
        <f t="shared" si="169"/>
        <v>1.4095328831389446</v>
      </c>
      <c r="T157" s="4" t="str">
        <f t="shared" si="157"/>
        <v>1+0,0771169549621745i</v>
      </c>
      <c r="U157" s="4">
        <f t="shared" si="170"/>
        <v>1.0029691045803146</v>
      </c>
      <c r="V157" s="4">
        <f t="shared" si="171"/>
        <v>7.6964625989956834E-2</v>
      </c>
      <c r="W157" t="str">
        <f t="shared" si="158"/>
        <v>1-0,006137489886659i</v>
      </c>
      <c r="X157" s="4">
        <f t="shared" si="172"/>
        <v>1.0000188342136906</v>
      </c>
      <c r="Y157" s="4">
        <f t="shared" si="173"/>
        <v>-6.1374128244776173E-3</v>
      </c>
      <c r="Z157" t="str">
        <f t="shared" si="159"/>
        <v>0,999999758976166+0,000843241470147141i</v>
      </c>
      <c r="AA157" s="4">
        <f t="shared" si="174"/>
        <v>1.0000001145042769</v>
      </c>
      <c r="AB157" s="4">
        <f t="shared" si="175"/>
        <v>8.4324147352440426E-4</v>
      </c>
      <c r="AC157" s="47" t="str">
        <f t="shared" si="176"/>
        <v>2,01646641182573-8,56396103629452i</v>
      </c>
      <c r="AD157" s="20">
        <f t="shared" si="177"/>
        <v>18.88783408487955</v>
      </c>
      <c r="AE157" s="43">
        <f t="shared" si="178"/>
        <v>-76.750499077256151</v>
      </c>
      <c r="AF157" t="str">
        <f t="shared" si="160"/>
        <v>171,265703090588</v>
      </c>
      <c r="AG157" t="str">
        <f t="shared" si="161"/>
        <v>1+6,0883568175432i</v>
      </c>
      <c r="AH157">
        <f t="shared" si="179"/>
        <v>6.1699342571639102</v>
      </c>
      <c r="AI157">
        <f t="shared" si="180"/>
        <v>1.4080019345539465</v>
      </c>
      <c r="AJ157" t="str">
        <f t="shared" si="162"/>
        <v>1+0,0771169549621745i</v>
      </c>
      <c r="AK157">
        <f t="shared" si="181"/>
        <v>1.0029691045803146</v>
      </c>
      <c r="AL157">
        <f t="shared" si="182"/>
        <v>7.6964625989956834E-2</v>
      </c>
      <c r="AM157" t="str">
        <f t="shared" si="163"/>
        <v>1-0,00193904507641315i</v>
      </c>
      <c r="AN157">
        <f t="shared" si="183"/>
        <v>1.000001879946137</v>
      </c>
      <c r="AO157">
        <f t="shared" si="184"/>
        <v>-1.9390426462161474E-3</v>
      </c>
      <c r="AP157" s="41" t="str">
        <f t="shared" si="185"/>
        <v>6,55880912343848-27,0569726481854i</v>
      </c>
      <c r="AQ157">
        <f t="shared" si="186"/>
        <v>28.893564739549053</v>
      </c>
      <c r="AR157" s="43">
        <f t="shared" si="187"/>
        <v>-76.373919115092932</v>
      </c>
      <c r="AS157" t="str">
        <f t="shared" si="164"/>
        <v>-0,0000166666666666667</v>
      </c>
      <c r="AT157" t="str">
        <f t="shared" si="165"/>
        <v>5,11131177489294E-06i</v>
      </c>
      <c r="AU157">
        <f t="shared" si="188"/>
        <v>5.1113117748929398E-6</v>
      </c>
      <c r="AV157">
        <f t="shared" si="189"/>
        <v>1.5707963267948966</v>
      </c>
      <c r="AW157" t="str">
        <f t="shared" si="166"/>
        <v>1+0,00172012230259624i</v>
      </c>
      <c r="AX157">
        <f t="shared" si="190"/>
        <v>1.0000014794092738</v>
      </c>
      <c r="AY157">
        <f t="shared" si="191"/>
        <v>1.7201206060880729E-3</v>
      </c>
      <c r="AZ157" t="str">
        <f t="shared" si="167"/>
        <v>1+0,407177522200281i</v>
      </c>
      <c r="BA157">
        <f t="shared" si="192"/>
        <v>1.0797191924686531</v>
      </c>
      <c r="BB157">
        <f t="shared" si="193"/>
        <v>0.38667854152372499</v>
      </c>
      <c r="BC157" s="41" t="str">
        <f t="shared" si="194"/>
        <v>-1,32208787777043+3,26301570035381i</v>
      </c>
      <c r="BD157">
        <f t="shared" si="195"/>
        <v>10.932531117734904</v>
      </c>
      <c r="BE157" s="43">
        <f t="shared" si="196"/>
        <v>112.05649280660123</v>
      </c>
      <c r="BF157" s="41" t="str">
        <f t="shared" si="197"/>
        <v>25,2783935196413+17,9020706328067i</v>
      </c>
      <c r="BG157" s="20">
        <f t="shared" si="198"/>
        <v>29.820365202614454</v>
      </c>
      <c r="BH157" s="43">
        <f t="shared" si="199"/>
        <v>35.305993729344983</v>
      </c>
      <c r="BI157" s="41" t="str">
        <f t="shared" si="152"/>
        <v>79,6160045203645+57,1731926927356i</v>
      </c>
      <c r="BJ157" s="20">
        <f t="shared" si="200"/>
        <v>39.82609585728396</v>
      </c>
      <c r="BK157" s="43">
        <f t="shared" si="153"/>
        <v>35.682573691508296</v>
      </c>
      <c r="BL157">
        <f t="shared" si="201"/>
        <v>29.820365202614454</v>
      </c>
      <c r="BM157" s="43">
        <f t="shared" si="202"/>
        <v>35.305993729344983</v>
      </c>
    </row>
    <row r="158" spans="14:65" x14ac:dyDescent="0.25">
      <c r="N158" s="9">
        <v>40</v>
      </c>
      <c r="O158" s="34">
        <f t="shared" si="154"/>
        <v>251.18864315095806</v>
      </c>
      <c r="P158" s="33" t="str">
        <f t="shared" si="155"/>
        <v>54,631621870174</v>
      </c>
      <c r="Q158" s="4" t="str">
        <f t="shared" si="156"/>
        <v>1+6,29037183403i</v>
      </c>
      <c r="R158" s="4">
        <f t="shared" si="168"/>
        <v>6.3693624335845378</v>
      </c>
      <c r="S158" s="4">
        <f t="shared" si="169"/>
        <v>1.4131424783954438</v>
      </c>
      <c r="T158" s="4" t="str">
        <f t="shared" si="157"/>
        <v>1+0,078913239598824i</v>
      </c>
      <c r="U158" s="4">
        <f t="shared" si="170"/>
        <v>1.0031088173194278</v>
      </c>
      <c r="V158" s="4">
        <f t="shared" si="171"/>
        <v>7.8750043472804065E-2</v>
      </c>
      <c r="W158" t="str">
        <f t="shared" si="158"/>
        <v>1-0,00628045039121218i</v>
      </c>
      <c r="X158" s="4">
        <f t="shared" si="172"/>
        <v>1.0000197218340829</v>
      </c>
      <c r="Y158" s="4">
        <f t="shared" si="173"/>
        <v>-6.2803678176850761E-3</v>
      </c>
      <c r="Z158" t="str">
        <f t="shared" si="159"/>
        <v>0,999999747617062+0,000862883087202094i</v>
      </c>
      <c r="AA158" s="4">
        <f t="shared" si="174"/>
        <v>1.0000001199006976</v>
      </c>
      <c r="AB158" s="4">
        <f t="shared" si="175"/>
        <v>8.6288309082089675E-4</v>
      </c>
      <c r="AC158" s="47" t="str">
        <f t="shared" si="176"/>
        <v>1,9553434699744-8,37895642168945i</v>
      </c>
      <c r="AD158" s="20">
        <f t="shared" si="177"/>
        <v>18.694093849624259</v>
      </c>
      <c r="AE158" s="43">
        <f t="shared" si="178"/>
        <v>-76.864332864312971</v>
      </c>
      <c r="AF158" t="str">
        <f t="shared" si="160"/>
        <v>171,265703090588</v>
      </c>
      <c r="AG158" t="str">
        <f t="shared" si="161"/>
        <v>1+6,23017286589673i</v>
      </c>
      <c r="AH158">
        <f t="shared" si="179"/>
        <v>6.3099171103078584</v>
      </c>
      <c r="AI158">
        <f t="shared" si="180"/>
        <v>1.4116446240172176</v>
      </c>
      <c r="AJ158" t="str">
        <f t="shared" si="162"/>
        <v>1+0,078913239598824i</v>
      </c>
      <c r="AK158">
        <f t="shared" si="181"/>
        <v>1.0031088173194278</v>
      </c>
      <c r="AL158">
        <f t="shared" si="182"/>
        <v>7.8750043472804065E-2</v>
      </c>
      <c r="AM158" t="str">
        <f t="shared" si="163"/>
        <v>1-0,00198421123841008i</v>
      </c>
      <c r="AN158">
        <f t="shared" si="183"/>
        <v>1.0000019685451818</v>
      </c>
      <c r="AO158">
        <f t="shared" si="184"/>
        <v>-1.9842086344073529E-3</v>
      </c>
      <c r="AP158" s="41" t="str">
        <f t="shared" si="185"/>
        <v>6,36384777091721-26,4725675748437i</v>
      </c>
      <c r="AQ158">
        <f t="shared" si="186"/>
        <v>28.699913007596471</v>
      </c>
      <c r="AR158" s="43">
        <f t="shared" si="187"/>
        <v>-76.482920781480033</v>
      </c>
      <c r="AS158" t="str">
        <f t="shared" si="164"/>
        <v>-0,0000166666666666667</v>
      </c>
      <c r="AT158" t="str">
        <f t="shared" si="165"/>
        <v>5,23036952061004E-06i</v>
      </c>
      <c r="AU158">
        <f t="shared" si="188"/>
        <v>5.2303695206100402E-6</v>
      </c>
      <c r="AV158">
        <f t="shared" si="189"/>
        <v>1.5707963267948966</v>
      </c>
      <c r="AW158" t="str">
        <f t="shared" si="166"/>
        <v>1+0,00176018909811257i</v>
      </c>
      <c r="AX158">
        <f t="shared" si="190"/>
        <v>1.0000015491316308</v>
      </c>
      <c r="AY158">
        <f t="shared" si="191"/>
        <v>1.7601872802714695E-3</v>
      </c>
      <c r="AZ158" t="str">
        <f t="shared" si="167"/>
        <v>1+0,416661905081791i</v>
      </c>
      <c r="BA158">
        <f t="shared" si="192"/>
        <v>1.0833315019634513</v>
      </c>
      <c r="BB158">
        <f t="shared" si="193"/>
        <v>0.39478706248448803</v>
      </c>
      <c r="BC158" s="41" t="str">
        <f t="shared" si="194"/>
        <v>-1,32208769341256+3,18884513248779i</v>
      </c>
      <c r="BD158">
        <f t="shared" si="195"/>
        <v>10.761541529638938</v>
      </c>
      <c r="BE158" s="43">
        <f t="shared" si="196"/>
        <v>112.51878118441647</v>
      </c>
      <c r="BF158" s="41" t="str">
        <f t="shared" si="197"/>
        <v>24,1340588625839+17,3130026753254i</v>
      </c>
      <c r="BG158" s="20">
        <f t="shared" si="198"/>
        <v>29.455635379263185</v>
      </c>
      <c r="BH158" s="43">
        <f t="shared" si="199"/>
        <v>35.65444832010354</v>
      </c>
      <c r="BI158" s="41" t="str">
        <f t="shared" si="152"/>
        <v>76,0033534348138+55,2923807919158i</v>
      </c>
      <c r="BJ158" s="20">
        <f t="shared" si="200"/>
        <v>39.461454537235404</v>
      </c>
      <c r="BK158" s="43">
        <f t="shared" si="153"/>
        <v>36.035860402936443</v>
      </c>
      <c r="BL158">
        <f t="shared" si="201"/>
        <v>29.455635379263185</v>
      </c>
      <c r="BM158" s="43">
        <f t="shared" si="202"/>
        <v>35.65444832010354</v>
      </c>
    </row>
    <row r="159" spans="14:65" x14ac:dyDescent="0.25">
      <c r="N159" s="9">
        <v>41</v>
      </c>
      <c r="O159" s="34">
        <f t="shared" si="154"/>
        <v>257.03957827688663</v>
      </c>
      <c r="P159" s="33" t="str">
        <f t="shared" si="155"/>
        <v>54,631621870174</v>
      </c>
      <c r="Q159" s="4" t="str">
        <f t="shared" si="156"/>
        <v>1+6,43689341660312i</v>
      </c>
      <c r="R159" s="4">
        <f t="shared" si="168"/>
        <v>6.514107525725116</v>
      </c>
      <c r="S159" s="4">
        <f t="shared" si="169"/>
        <v>1.4166739166594609</v>
      </c>
      <c r="T159" s="4" t="str">
        <f t="shared" si="157"/>
        <v>1+0,0807513650796485i</v>
      </c>
      <c r="U159" s="4">
        <f t="shared" si="170"/>
        <v>1.0032550936637334</v>
      </c>
      <c r="V159" s="4">
        <f t="shared" si="171"/>
        <v>8.0576527908187895E-2</v>
      </c>
      <c r="W159" t="str">
        <f t="shared" si="158"/>
        <v>1-0,00642674087369433i</v>
      </c>
      <c r="X159" s="4">
        <f t="shared" si="172"/>
        <v>1.0000206512858909</v>
      </c>
      <c r="Y159" s="4">
        <f t="shared" si="173"/>
        <v>-6.4266523946646193E-3</v>
      </c>
      <c r="Z159" t="str">
        <f t="shared" si="159"/>
        <v>0,999999735722621+0,000882982216291483i</v>
      </c>
      <c r="AA159" s="4">
        <f t="shared" si="174"/>
        <v>1.0000001255514452</v>
      </c>
      <c r="AB159" s="4">
        <f t="shared" si="175"/>
        <v>8.8298222016909903E-4</v>
      </c>
      <c r="AC159" s="47" t="str">
        <f t="shared" si="176"/>
        <v>1,89683878129059-8,19754016388454i</v>
      </c>
      <c r="AD159" s="20">
        <f t="shared" si="177"/>
        <v>18.500189165382736</v>
      </c>
      <c r="AE159" s="43">
        <f t="shared" si="178"/>
        <v>-76.971552607110695</v>
      </c>
      <c r="AF159" t="str">
        <f t="shared" si="160"/>
        <v>171,265703090588</v>
      </c>
      <c r="AG159" t="str">
        <f t="shared" si="161"/>
        <v>1+6,37529223436981i</v>
      </c>
      <c r="AH159">
        <f t="shared" si="179"/>
        <v>6.453243453769276</v>
      </c>
      <c r="AI159">
        <f t="shared" si="180"/>
        <v>1.4152085165150288</v>
      </c>
      <c r="AJ159" t="str">
        <f t="shared" si="162"/>
        <v>1+0,0807513650796485i</v>
      </c>
      <c r="AK159">
        <f t="shared" si="181"/>
        <v>1.0032550936637334</v>
      </c>
      <c r="AL159">
        <f t="shared" si="182"/>
        <v>8.0576527908187895E-2</v>
      </c>
      <c r="AM159" t="str">
        <f t="shared" si="163"/>
        <v>1-0,00203042945546975i</v>
      </c>
      <c r="AN159">
        <f t="shared" si="183"/>
        <v>1.0000020613197624</v>
      </c>
      <c r="AO159">
        <f t="shared" si="184"/>
        <v>-2.0304266652308675E-3</v>
      </c>
      <c r="AP159" s="41" t="str">
        <f t="shared" si="185"/>
        <v>6,17722978284057-25,8994486768375i</v>
      </c>
      <c r="AQ159">
        <f t="shared" si="186"/>
        <v>28.506092417353479</v>
      </c>
      <c r="AR159" s="43">
        <f t="shared" si="187"/>
        <v>-76.585115028852698</v>
      </c>
      <c r="AS159" t="str">
        <f t="shared" si="164"/>
        <v>-0,0000166666666666667</v>
      </c>
      <c r="AT159" t="str">
        <f t="shared" si="165"/>
        <v>5,35220047747911E-06i</v>
      </c>
      <c r="AU159">
        <f t="shared" si="188"/>
        <v>5.3522004774791099E-6</v>
      </c>
      <c r="AV159">
        <f t="shared" si="189"/>
        <v>1.5707963267948966</v>
      </c>
      <c r="AW159" t="str">
        <f t="shared" si="166"/>
        <v>1+0,00180118916918757i</v>
      </c>
      <c r="AX159">
        <f t="shared" si="190"/>
        <v>1.000001622139896</v>
      </c>
      <c r="AY159">
        <f t="shared" si="191"/>
        <v>1.8011872213359074E-3</v>
      </c>
      <c r="AZ159" t="str">
        <f t="shared" si="167"/>
        <v>1+0,426367207620544i</v>
      </c>
      <c r="BA159">
        <f t="shared" si="192"/>
        <v>1.0871011892800688</v>
      </c>
      <c r="BB159">
        <f t="shared" si="193"/>
        <v>0.40302811441639824</v>
      </c>
      <c r="BC159" s="41" t="str">
        <f t="shared" si="194"/>
        <v>-1,32208750036622+3,11636533248979i</v>
      </c>
      <c r="BD159">
        <f t="shared" si="195"/>
        <v>10.591712870937599</v>
      </c>
      <c r="BE159" s="43">
        <f t="shared" si="196"/>
        <v>112.98860955527978</v>
      </c>
      <c r="BF159" s="41" t="str">
        <f t="shared" si="197"/>
        <v>23,0387431354683+16,749108003758i</v>
      </c>
      <c r="BG159" s="20">
        <f t="shared" si="198"/>
        <v>29.091902036320345</v>
      </c>
      <c r="BH159" s="43">
        <f t="shared" si="199"/>
        <v>36.017056948169092</v>
      </c>
      <c r="BI159" s="41" t="str">
        <f t="shared" si="152"/>
        <v>72,5453057043115+53,4918421080911i</v>
      </c>
      <c r="BJ159" s="20">
        <f t="shared" si="200"/>
        <v>39.097805288291077</v>
      </c>
      <c r="BK159" s="43">
        <f t="shared" si="153"/>
        <v>36.403494526427096</v>
      </c>
      <c r="BL159">
        <f t="shared" si="201"/>
        <v>29.091902036320345</v>
      </c>
      <c r="BM159" s="43">
        <f t="shared" si="202"/>
        <v>36.017056948169092</v>
      </c>
    </row>
    <row r="160" spans="14:65" x14ac:dyDescent="0.25">
      <c r="N160" s="9">
        <v>42</v>
      </c>
      <c r="O160" s="34">
        <f t="shared" si="154"/>
        <v>263.02679918953817</v>
      </c>
      <c r="P160" s="33" t="str">
        <f t="shared" si="155"/>
        <v>54,631621870174</v>
      </c>
      <c r="Q160" s="4" t="str">
        <f t="shared" si="156"/>
        <v>1+6,58682792526808i</v>
      </c>
      <c r="R160" s="4">
        <f t="shared" si="168"/>
        <v>6.6623045650203805</v>
      </c>
      <c r="S160" s="4">
        <f t="shared" si="169"/>
        <v>1.4201287178397641</v>
      </c>
      <c r="T160" s="4" t="str">
        <f t="shared" si="157"/>
        <v>1+0,082632306003109i</v>
      </c>
      <c r="U160" s="4">
        <f t="shared" si="170"/>
        <v>1.0034082409445277</v>
      </c>
      <c r="V160" s="4">
        <f t="shared" si="171"/>
        <v>8.2444998949262271E-2</v>
      </c>
      <c r="W160" t="str">
        <f t="shared" si="158"/>
        <v>1-0,00657643889925569i</v>
      </c>
      <c r="X160" s="4">
        <f t="shared" si="172"/>
        <v>1.0000216245404874</v>
      </c>
      <c r="Y160" s="4">
        <f t="shared" si="173"/>
        <v>-6.5763440923779712E-3</v>
      </c>
      <c r="Z160" t="str">
        <f t="shared" si="159"/>
        <v>0,999999723267612+0,000903549514239603i</v>
      </c>
      <c r="AA160" s="4">
        <f t="shared" si="174"/>
        <v>1.0000001314685041</v>
      </c>
      <c r="AB160" s="4">
        <f t="shared" si="175"/>
        <v>9.0354951839454259E-4</v>
      </c>
      <c r="AC160" s="47" t="str">
        <f t="shared" si="176"/>
        <v>1,84084577772263-8,01967043177532i</v>
      </c>
      <c r="AD160" s="20">
        <f t="shared" si="177"/>
        <v>18.306132182134572</v>
      </c>
      <c r="AE160" s="43">
        <f t="shared" si="178"/>
        <v>-77.072197750894333</v>
      </c>
      <c r="AF160" t="str">
        <f t="shared" si="160"/>
        <v>171,265703090588</v>
      </c>
      <c r="AG160" t="str">
        <f t="shared" si="161"/>
        <v>1+6,52379186717253i</v>
      </c>
      <c r="AH160">
        <f t="shared" si="179"/>
        <v>6.5999894186420063</v>
      </c>
      <c r="AI160">
        <f t="shared" si="180"/>
        <v>1.4186951393559402</v>
      </c>
      <c r="AJ160" t="str">
        <f t="shared" si="162"/>
        <v>1+0,082632306003109i</v>
      </c>
      <c r="AK160">
        <f t="shared" si="181"/>
        <v>1.0034082409445277</v>
      </c>
      <c r="AL160">
        <f t="shared" si="182"/>
        <v>8.2444998949262271E-2</v>
      </c>
      <c r="AM160" t="str">
        <f t="shared" si="163"/>
        <v>1-0,00207772423310262i</v>
      </c>
      <c r="AN160">
        <f t="shared" si="183"/>
        <v>1.000002158466665</v>
      </c>
      <c r="AO160">
        <f t="shared" si="184"/>
        <v>-2.0777212433081399E-3</v>
      </c>
      <c r="AP160" s="41" t="str">
        <f t="shared" si="185"/>
        <v>5,99861626138591-25,3374868963099i</v>
      </c>
      <c r="AQ160">
        <f t="shared" si="186"/>
        <v>28.312115269566341</v>
      </c>
      <c r="AR160" s="43">
        <f t="shared" si="187"/>
        <v>-76.680538077312548</v>
      </c>
      <c r="AS160" t="str">
        <f t="shared" si="164"/>
        <v>-0,0000166666666666667</v>
      </c>
      <c r="AT160" t="str">
        <f t="shared" si="165"/>
        <v>5,47686924188607E-06i</v>
      </c>
      <c r="AU160">
        <f t="shared" si="188"/>
        <v>5.4768692418860699E-6</v>
      </c>
      <c r="AV160">
        <f t="shared" si="189"/>
        <v>1.5707963267948966</v>
      </c>
      <c r="AW160" t="str">
        <f t="shared" si="166"/>
        <v>1+0,00184314425460163i</v>
      </c>
      <c r="AX160">
        <f t="shared" si="190"/>
        <v>1.0000016985889291</v>
      </c>
      <c r="AY160">
        <f t="shared" si="191"/>
        <v>1.8431421674411613E-3</v>
      </c>
      <c r="AZ160" t="str">
        <f t="shared" si="167"/>
        <v>1+0,436298575696415i</v>
      </c>
      <c r="BA160">
        <f t="shared" si="192"/>
        <v>1.0910345765165834</v>
      </c>
      <c r="BB160">
        <f t="shared" si="193"/>
        <v>0.41140158825904027</v>
      </c>
      <c r="BC160" s="41" t="str">
        <f t="shared" si="194"/>
        <v>-1,32208729822195+3,04553787060826i</v>
      </c>
      <c r="BD160">
        <f t="shared" si="195"/>
        <v>10.423083074709918</v>
      </c>
      <c r="BE160" s="43">
        <f t="shared" si="196"/>
        <v>113.46597042498487</v>
      </c>
      <c r="BF160" s="41" t="str">
        <f t="shared" si="197"/>
        <v>21,9904511890564+16,2090699437799i</v>
      </c>
      <c r="BG160" s="20">
        <f t="shared" si="198"/>
        <v>28.729215256844487</v>
      </c>
      <c r="BH160" s="43">
        <f t="shared" si="199"/>
        <v>36.393772674090641</v>
      </c>
      <c r="BI160" s="41" t="str">
        <f t="shared" si="152"/>
        <v>69,2355815226664+51,7673825897737i</v>
      </c>
      <c r="BJ160" s="20">
        <f t="shared" si="200"/>
        <v>38.735198344276249</v>
      </c>
      <c r="BK160" s="43">
        <f t="shared" si="153"/>
        <v>36.785432347672312</v>
      </c>
      <c r="BL160">
        <f t="shared" si="201"/>
        <v>28.729215256844487</v>
      </c>
      <c r="BM160" s="43">
        <f t="shared" si="202"/>
        <v>36.393772674090641</v>
      </c>
    </row>
    <row r="161" spans="14:65" x14ac:dyDescent="0.25">
      <c r="N161" s="9">
        <v>43</v>
      </c>
      <c r="O161" s="34">
        <f t="shared" si="154"/>
        <v>269.15348039269179</v>
      </c>
      <c r="P161" s="33" t="str">
        <f t="shared" si="155"/>
        <v>54,631621870174</v>
      </c>
      <c r="Q161" s="4" t="str">
        <f t="shared" si="156"/>
        <v>1+6,74025485728602i</v>
      </c>
      <c r="R161" s="4">
        <f t="shared" si="168"/>
        <v>6.814032252724358</v>
      </c>
      <c r="S161" s="4">
        <f t="shared" si="169"/>
        <v>1.4235083836654405</v>
      </c>
      <c r="T161" s="4" t="str">
        <f t="shared" si="157"/>
        <v>1+0,0845570596689805i</v>
      </c>
      <c r="U161" s="4">
        <f t="shared" si="170"/>
        <v>1.0035685807855204</v>
      </c>
      <c r="V161" s="4">
        <f t="shared" si="171"/>
        <v>8.4356395069626527E-2</v>
      </c>
      <c r="W161" t="str">
        <f t="shared" si="158"/>
        <v>1-0,00672962383977092i</v>
      </c>
      <c r="X161" s="4">
        <f t="shared" si="172"/>
        <v>1.0000226436621447</v>
      </c>
      <c r="Y161" s="4">
        <f t="shared" si="173"/>
        <v>-6.7295222524954082E-3</v>
      </c>
      <c r="Z161" t="str">
        <f t="shared" si="159"/>
        <v>0,999999710225616+0,000924595886100067i</v>
      </c>
      <c r="AA161" s="4">
        <f t="shared" si="174"/>
        <v>1.0000001376644247</v>
      </c>
      <c r="AB161" s="4">
        <f t="shared" si="175"/>
        <v>9.2459589055216473E-4</v>
      </c>
      <c r="AC161" s="47" t="str">
        <f t="shared" si="176"/>
        <v>1,78726174618337-7,84530392555716i</v>
      </c>
      <c r="AD161" s="20">
        <f t="shared" si="177"/>
        <v>18.111934784094387</v>
      </c>
      <c r="AE161" s="43">
        <f t="shared" si="178"/>
        <v>-77.166305738582636</v>
      </c>
      <c r="AF161" t="str">
        <f t="shared" si="160"/>
        <v>171,265703090588</v>
      </c>
      <c r="AG161" t="str">
        <f t="shared" si="161"/>
        <v>1+6,67575050077584i</v>
      </c>
      <c r="AH161">
        <f t="shared" si="179"/>
        <v>6.7502329403220518</v>
      </c>
      <c r="AI161">
        <f t="shared" si="180"/>
        <v>1.4221060019372305</v>
      </c>
      <c r="AJ161" t="str">
        <f t="shared" si="162"/>
        <v>1+0,0845570596689805i</v>
      </c>
      <c r="AK161">
        <f t="shared" si="181"/>
        <v>1.0035685807855204</v>
      </c>
      <c r="AL161">
        <f t="shared" si="182"/>
        <v>8.4356395069626527E-2</v>
      </c>
      <c r="AM161" t="str">
        <f t="shared" si="163"/>
        <v>1-0,00212612064762582i</v>
      </c>
      <c r="AN161">
        <f t="shared" si="183"/>
        <v>1.0000022601919498</v>
      </c>
      <c r="AO161">
        <f t="shared" si="184"/>
        <v>-2.1261174440037073E-3</v>
      </c>
      <c r="AP161" s="41" t="str">
        <f t="shared" si="185"/>
        <v>5,82768050735818-24,7865483374483i</v>
      </c>
      <c r="AQ161">
        <f t="shared" si="186"/>
        <v>28.117993592502096</v>
      </c>
      <c r="AR161" s="43">
        <f t="shared" si="187"/>
        <v>-76.769224075089355</v>
      </c>
      <c r="AS161" t="str">
        <f t="shared" si="164"/>
        <v>-0,0000166666666666667</v>
      </c>
      <c r="AT161" t="str">
        <f t="shared" si="165"/>
        <v>5,60444191486003E-06i</v>
      </c>
      <c r="AU161">
        <f t="shared" si="188"/>
        <v>5.6044419148600301E-6</v>
      </c>
      <c r="AV161">
        <f t="shared" si="189"/>
        <v>1.5707963267948966</v>
      </c>
      <c r="AW161" t="str">
        <f t="shared" si="166"/>
        <v>1+0,00188607659949639i</v>
      </c>
      <c r="AX161">
        <f t="shared" si="190"/>
        <v>1.0000017786408877</v>
      </c>
      <c r="AY161">
        <f t="shared" si="191"/>
        <v>1.8860743630638695E-3</v>
      </c>
      <c r="AZ161" t="str">
        <f t="shared" si="167"/>
        <v>1+0,446461275052217i</v>
      </c>
      <c r="BA161">
        <f t="shared" si="192"/>
        <v>1.0951381968141058</v>
      </c>
      <c r="BB161">
        <f t="shared" si="193"/>
        <v>0.41990722583496704</v>
      </c>
      <c r="BC161" s="41" t="str">
        <f t="shared" si="194"/>
        <v>-1,32208708655098+2,97632519318306i</v>
      </c>
      <c r="BD161">
        <f t="shared" si="195"/>
        <v>10.255690630043182</v>
      </c>
      <c r="BE161" s="43">
        <f t="shared" si="196"/>
        <v>113.95084772653887</v>
      </c>
      <c r="BF161" s="41" t="str">
        <f t="shared" si="197"/>
        <v>20,9872600468981+15,6916471720247i</v>
      </c>
      <c r="BG161" s="20">
        <f t="shared" si="198"/>
        <v>28.367625414137546</v>
      </c>
      <c r="BH161" s="43">
        <f t="shared" si="199"/>
        <v>36.784541987956217</v>
      </c>
      <c r="BI161" s="41" t="str">
        <f t="shared" si="152"/>
        <v>66,0681271254739+50,115047788984i</v>
      </c>
      <c r="BJ161" s="20">
        <f t="shared" si="200"/>
        <v>38.373684222545272</v>
      </c>
      <c r="BK161" s="43">
        <f t="shared" si="153"/>
        <v>37.181623651449527</v>
      </c>
      <c r="BL161">
        <f t="shared" si="201"/>
        <v>28.367625414137546</v>
      </c>
      <c r="BM161" s="43">
        <f t="shared" si="202"/>
        <v>36.784541987956217</v>
      </c>
    </row>
    <row r="162" spans="14:65" x14ac:dyDescent="0.25">
      <c r="N162" s="9">
        <v>44</v>
      </c>
      <c r="O162" s="34">
        <f t="shared" si="154"/>
        <v>275.42287033381683</v>
      </c>
      <c r="P162" s="33" t="str">
        <f t="shared" si="155"/>
        <v>54,631621870174</v>
      </c>
      <c r="Q162" s="4" t="str">
        <f t="shared" si="156"/>
        <v>1+6,89725556164712i</v>
      </c>
      <c r="R162" s="4">
        <f t="shared" si="168"/>
        <v>6.9693711540333494</v>
      </c>
      <c r="S162" s="4">
        <f t="shared" si="169"/>
        <v>1.4268143970961187</v>
      </c>
      <c r="T162" s="4" t="str">
        <f t="shared" si="157"/>
        <v>1+0,0865266466071335i</v>
      </c>
      <c r="U162" s="4">
        <f t="shared" si="170"/>
        <v>1.0037364497581402</v>
      </c>
      <c r="V162" s="4">
        <f t="shared" si="171"/>
        <v>8.6311673820436516E-2</v>
      </c>
      <c r="W162" t="str">
        <f t="shared" si="158"/>
        <v>1-0,00688637691592309i</v>
      </c>
      <c r="X162" s="4">
        <f t="shared" si="172"/>
        <v>1.0000237108124128</v>
      </c>
      <c r="Y162" s="4">
        <f t="shared" si="173"/>
        <v>-6.8862680633356051E-3</v>
      </c>
      <c r="Z162" t="str">
        <f t="shared" si="159"/>
        <v>0,99999969656897+0,000946132490937814i</v>
      </c>
      <c r="AA162" s="4">
        <f t="shared" si="174"/>
        <v>1.0000001441523509</v>
      </c>
      <c r="AB162" s="4">
        <f t="shared" si="175"/>
        <v>9.4613249570832175E-4</v>
      </c>
      <c r="AC162" s="47" t="str">
        <f t="shared" si="176"/>
        <v>1,73598773159719-7,67439604844967i</v>
      </c>
      <c r="AD162" s="20">
        <f t="shared" si="177"/>
        <v>17.91760860923057</v>
      </c>
      <c r="AE162" s="43">
        <f t="shared" si="178"/>
        <v>-77.253911964978997</v>
      </c>
      <c r="AF162" t="str">
        <f t="shared" si="160"/>
        <v>171,265703090588</v>
      </c>
      <c r="AG162" t="str">
        <f t="shared" si="161"/>
        <v>1+6,83124870565866i</v>
      </c>
      <c r="AH162">
        <f t="shared" si="179"/>
        <v>6.9040538003815639</v>
      </c>
      <c r="AI162">
        <f t="shared" si="180"/>
        <v>1.4254425951241381</v>
      </c>
      <c r="AJ162" t="str">
        <f t="shared" si="162"/>
        <v>1+0,0865266466071335i</v>
      </c>
      <c r="AK162">
        <f t="shared" si="181"/>
        <v>1.0037364497581402</v>
      </c>
      <c r="AL162">
        <f t="shared" si="182"/>
        <v>8.6311673820436516E-2</v>
      </c>
      <c r="AM162" t="str">
        <f t="shared" si="163"/>
        <v>1-0,00217564435945892i</v>
      </c>
      <c r="AN162">
        <f t="shared" si="183"/>
        <v>1.0000023667113886</v>
      </c>
      <c r="AO162">
        <f t="shared" si="184"/>
        <v>-2.175640926716418E-3</v>
      </c>
      <c r="AP162" s="41" t="str">
        <f t="shared" si="185"/>
        <v>5,66410771914211-24,246494818757i</v>
      </c>
      <c r="AQ162">
        <f t="shared" si="186"/>
        <v>27.923739161582986</v>
      </c>
      <c r="AR162" s="43">
        <f t="shared" si="187"/>
        <v>-76.851205049004463</v>
      </c>
      <c r="AS162" t="str">
        <f t="shared" si="164"/>
        <v>-0,0000166666666666667</v>
      </c>
      <c r="AT162" t="str">
        <f t="shared" si="165"/>
        <v>0,0000057349861371208i</v>
      </c>
      <c r="AU162">
        <f t="shared" si="188"/>
        <v>5.7349861371207998E-6</v>
      </c>
      <c r="AV162">
        <f t="shared" si="189"/>
        <v>1.5707963267948966</v>
      </c>
      <c r="AW162" t="str">
        <f t="shared" si="166"/>
        <v>1+0,00193000896716937i</v>
      </c>
      <c r="AX162">
        <f t="shared" si="190"/>
        <v>1.0000018624655724</v>
      </c>
      <c r="AY162">
        <f t="shared" si="191"/>
        <v>1.9300065707889905E-3</v>
      </c>
      <c r="AZ162" t="str">
        <f t="shared" si="167"/>
        <v>1+0,456860694085665i</v>
      </c>
      <c r="BA162">
        <f t="shared" si="192"/>
        <v>1.0994187981840384</v>
      </c>
      <c r="BB162">
        <f t="shared" si="193"/>
        <v>0.4285446131172605</v>
      </c>
      <c r="BC162" s="41" t="str">
        <f t="shared" si="194"/>
        <v>-1,32208686490434+2,90869060273396i</v>
      </c>
      <c r="BD162">
        <f t="shared" si="195"/>
        <v>10.089574534087511</v>
      </c>
      <c r="BE162" s="43">
        <f t="shared" si="196"/>
        <v>114.44321643374694</v>
      </c>
      <c r="BF162" s="41" t="str">
        <f t="shared" si="197"/>
        <v>20,0273170902045+15,1956694130873i</v>
      </c>
      <c r="BG162" s="20">
        <f t="shared" si="198"/>
        <v>28.007183143318095</v>
      </c>
      <c r="BH162" s="43">
        <f t="shared" si="199"/>
        <v>37.189304468767951</v>
      </c>
      <c r="BI162" s="41" t="str">
        <f t="shared" si="152"/>
        <v>63,0371092116751+48,5311092153913i</v>
      </c>
      <c r="BJ162" s="20">
        <f t="shared" si="200"/>
        <v>38.01331369567049</v>
      </c>
      <c r="BK162" s="43">
        <f t="shared" si="153"/>
        <v>37.592011384742463</v>
      </c>
      <c r="BL162">
        <f t="shared" si="201"/>
        <v>28.007183143318095</v>
      </c>
      <c r="BM162" s="43">
        <f t="shared" si="202"/>
        <v>37.189304468767951</v>
      </c>
    </row>
    <row r="163" spans="14:65" x14ac:dyDescent="0.25">
      <c r="N163" s="9">
        <v>45</v>
      </c>
      <c r="O163" s="34">
        <f t="shared" si="154"/>
        <v>281.83829312644554</v>
      </c>
      <c r="P163" s="33" t="str">
        <f t="shared" si="155"/>
        <v>54,631621870174</v>
      </c>
      <c r="Q163" s="4" t="str">
        <f t="shared" si="156"/>
        <v>1+7,05791328220295i</v>
      </c>
      <c r="R163" s="4">
        <f t="shared" si="168"/>
        <v>7.1284037413082046</v>
      </c>
      <c r="S163" s="4">
        <f t="shared" si="169"/>
        <v>1.4300482218030828</v>
      </c>
      <c r="T163" s="4" t="str">
        <f t="shared" si="157"/>
        <v>1+0,088542111118633i</v>
      </c>
      <c r="U163" s="4">
        <f t="shared" si="170"/>
        <v>1.0039122000659939</v>
      </c>
      <c r="V163" s="4">
        <f t="shared" si="171"/>
        <v>8.8311812081110649E-2</v>
      </c>
      <c r="W163" t="str">
        <f t="shared" si="158"/>
        <v>1-0,00704678124026805i</v>
      </c>
      <c r="X163" s="4">
        <f t="shared" si="172"/>
        <v>1.0000248282547028</v>
      </c>
      <c r="Y163" s="4">
        <f t="shared" si="173"/>
        <v>-7.0466646027755354E-3</v>
      </c>
      <c r="Z163" t="str">
        <f t="shared" si="159"/>
        <v>0,999999682268706+0,0009681707477458i</v>
      </c>
      <c r="AA163" s="4">
        <f t="shared" si="174"/>
        <v>1.0000001509460434</v>
      </c>
      <c r="AB163" s="4">
        <f t="shared" si="175"/>
        <v>9.6817075285749051E-4</v>
      </c>
      <c r="AC163" s="47" t="str">
        <f t="shared" si="176"/>
        <v>1,68692843834407-7,50690106766388i</v>
      </c>
      <c r="AD163" s="20">
        <f t="shared" si="177"/>
        <v>17.723165068647901</v>
      </c>
      <c r="AE163" s="43">
        <f t="shared" si="178"/>
        <v>-77.335049735474769</v>
      </c>
      <c r="AF163" t="str">
        <f t="shared" si="160"/>
        <v>171,265703090588</v>
      </c>
      <c r="AG163" t="str">
        <f t="shared" si="161"/>
        <v>1+6,99036892902748i</v>
      </c>
      <c r="AH163">
        <f t="shared" si="179"/>
        <v>7.0615336693888819</v>
      </c>
      <c r="AI163">
        <f t="shared" si="180"/>
        <v>1.428706390701928</v>
      </c>
      <c r="AJ163" t="str">
        <f t="shared" si="162"/>
        <v>1+0,088542111118633i</v>
      </c>
      <c r="AK163">
        <f t="shared" si="181"/>
        <v>1.0039122000659939</v>
      </c>
      <c r="AL163">
        <f t="shared" si="182"/>
        <v>8.8311812081110649E-2</v>
      </c>
      <c r="AM163" t="str">
        <f t="shared" si="163"/>
        <v>1-0,00222632162672947i</v>
      </c>
      <c r="AN163">
        <f t="shared" si="183"/>
        <v>1.000002478250922</v>
      </c>
      <c r="AO163">
        <f t="shared" si="184"/>
        <v>-2.2263179484801015E-3</v>
      </c>
      <c r="AP163" s="41" t="str">
        <f t="shared" si="185"/>
        <v>5,50759468592527-23,7171843910189i</v>
      </c>
      <c r="AQ163">
        <f t="shared" si="186"/>
        <v>27.729363518885041</v>
      </c>
      <c r="AR163" s="43">
        <f t="shared" si="187"/>
        <v>-76.926510859491415</v>
      </c>
      <c r="AS163" t="str">
        <f t="shared" si="164"/>
        <v>-0,0000166666666666667</v>
      </c>
      <c r="AT163" t="str">
        <f t="shared" si="165"/>
        <v>5,86857112494298E-06i</v>
      </c>
      <c r="AU163">
        <f t="shared" si="188"/>
        <v>5.8685711249429796E-6</v>
      </c>
      <c r="AV163">
        <f t="shared" si="189"/>
        <v>1.5707963267948966</v>
      </c>
      <c r="AW163" t="str">
        <f t="shared" si="166"/>
        <v>1+0,00197496465114344i</v>
      </c>
      <c r="AX163">
        <f t="shared" si="190"/>
        <v>1.0000019502407849</v>
      </c>
      <c r="AY163">
        <f t="shared" si="191"/>
        <v>1.9749620833758711E-3</v>
      </c>
      <c r="AZ163" t="str">
        <f t="shared" si="167"/>
        <v>1+0,467502346706382i</v>
      </c>
      <c r="BA163">
        <f t="shared" si="192"/>
        <v>1.1038833471775784</v>
      </c>
      <c r="BB163">
        <f t="shared" si="193"/>
        <v>0.43731317362447042</v>
      </c>
      <c r="BC163" s="41" t="str">
        <f t="shared" si="194"/>
        <v>-1,32208663281189+2,84259823850317i</v>
      </c>
      <c r="BD163">
        <f t="shared" si="195"/>
        <v>9.9247742393056999</v>
      </c>
      <c r="BE163" s="43">
        <f t="shared" si="196"/>
        <v>114.9430421820781</v>
      </c>
      <c r="BF163" s="41" t="str">
        <f t="shared" si="197"/>
        <v>19,108838212714+14,7200333627175i</v>
      </c>
      <c r="BG163" s="20">
        <f t="shared" si="198"/>
        <v>27.647939307953614</v>
      </c>
      <c r="BH163" s="43">
        <f t="shared" si="199"/>
        <v>37.60799244660334</v>
      </c>
      <c r="BI163" s="41" t="str">
        <f t="shared" si="152"/>
        <v>60,1369092589576+47,0120514039015i</v>
      </c>
      <c r="BJ163" s="20">
        <f t="shared" si="200"/>
        <v>37.654137758190743</v>
      </c>
      <c r="BK163" s="43">
        <f t="shared" si="153"/>
        <v>38.016531322586708</v>
      </c>
      <c r="BL163">
        <f t="shared" si="201"/>
        <v>27.647939307953614</v>
      </c>
      <c r="BM163" s="43">
        <f t="shared" si="202"/>
        <v>37.60799244660334</v>
      </c>
    </row>
    <row r="164" spans="14:65" x14ac:dyDescent="0.25">
      <c r="N164" s="9">
        <v>46</v>
      </c>
      <c r="O164" s="34">
        <f t="shared" si="154"/>
        <v>288.40315031266073</v>
      </c>
      <c r="P164" s="33" t="str">
        <f t="shared" si="155"/>
        <v>54,631621870174</v>
      </c>
      <c r="Q164" s="4" t="str">
        <f t="shared" si="156"/>
        <v>1+7,22231320180354i</v>
      </c>
      <c r="R164" s="4">
        <f t="shared" si="168"/>
        <v>7.2912144382774589</v>
      </c>
      <c r="S164" s="4">
        <f t="shared" si="169"/>
        <v>1.4332113017167905</v>
      </c>
      <c r="T164" s="4" t="str">
        <f t="shared" si="157"/>
        <v>1+0,090604521829441i</v>
      </c>
      <c r="U164" s="4">
        <f t="shared" si="170"/>
        <v>1.0040962002596872</v>
      </c>
      <c r="V164" s="4">
        <f t="shared" si="171"/>
        <v>9.0357806302661714E-2</v>
      </c>
      <c r="W164" t="str">
        <f t="shared" si="158"/>
        <v>1-0,00721092186130178i</v>
      </c>
      <c r="X164" s="4">
        <f t="shared" si="172"/>
        <v>1.0000259983590876</v>
      </c>
      <c r="Y164" s="4">
        <f t="shared" si="173"/>
        <v>-7.2107968821523202E-3</v>
      </c>
      <c r="Z164" t="str">
        <f t="shared" si="159"/>
        <v>0,999999667294492+0,000990722341499495i</v>
      </c>
      <c r="AA164" s="4">
        <f t="shared" si="174"/>
        <v>1.0000001580599138</v>
      </c>
      <c r="AB164" s="4">
        <f t="shared" si="175"/>
        <v>9.9072234697676837E-4</v>
      </c>
      <c r="AC164" s="47" t="str">
        <f t="shared" si="176"/>
        <v>1,63999213060521-7,34277226508173i</v>
      </c>
      <c r="AD164" s="20">
        <f t="shared" si="177"/>
        <v>17.528615365836743</v>
      </c>
      <c r="AE164" s="43">
        <f t="shared" si="178"/>
        <v>-77.409750229044278</v>
      </c>
      <c r="AF164" t="str">
        <f t="shared" si="160"/>
        <v>171,265703090588</v>
      </c>
      <c r="AG164" t="str">
        <f t="shared" si="161"/>
        <v>1+7,15319553853094i</v>
      </c>
      <c r="AH164">
        <f t="shared" si="179"/>
        <v>7.2227561506989106</v>
      </c>
      <c r="AI164">
        <f t="shared" si="180"/>
        <v>1.431898840896209</v>
      </c>
      <c r="AJ164" t="str">
        <f t="shared" si="162"/>
        <v>1+0,090604521829441i</v>
      </c>
      <c r="AK164">
        <f t="shared" si="181"/>
        <v>1.0040962002596872</v>
      </c>
      <c r="AL164">
        <f t="shared" si="182"/>
        <v>9.0357806302661714E-2</v>
      </c>
      <c r="AM164" t="str">
        <f t="shared" si="163"/>
        <v>1-0,00227817931919535i</v>
      </c>
      <c r="AN164">
        <f t="shared" si="183"/>
        <v>1.0000025950471381</v>
      </c>
      <c r="AO164">
        <f t="shared" si="184"/>
        <v>-2.2781753778806945E-3</v>
      </c>
      <c r="AP164" s="41" t="str">
        <f t="shared" si="185"/>
        <v>5,35784947684119-23,1984718224234i</v>
      </c>
      <c r="AQ164">
        <f t="shared" si="186"/>
        <v>27.534877992504249</v>
      </c>
      <c r="AR164" s="43">
        <f t="shared" si="187"/>
        <v>-76.995169159967404</v>
      </c>
      <c r="AS164" t="str">
        <f t="shared" si="164"/>
        <v>-0,0000166666666666667</v>
      </c>
      <c r="AT164" t="str">
        <f t="shared" si="165"/>
        <v>6,00526770685534E-06i</v>
      </c>
      <c r="AU164">
        <f t="shared" si="188"/>
        <v>6.0052677068553401E-6</v>
      </c>
      <c r="AV164">
        <f t="shared" si="189"/>
        <v>1.5707963267948966</v>
      </c>
      <c r="AW164" t="str">
        <f t="shared" si="166"/>
        <v>1+0,00202096748751728i</v>
      </c>
      <c r="AX164">
        <f t="shared" si="190"/>
        <v>1.0000020421527076</v>
      </c>
      <c r="AY164">
        <f t="shared" si="191"/>
        <v>2.020964736105062E-3</v>
      </c>
      <c r="AZ164" t="str">
        <f t="shared" si="167"/>
        <v>1+0,478391875259448i</v>
      </c>
      <c r="BA164">
        <f t="shared" si="192"/>
        <v>1.1085390323819235</v>
      </c>
      <c r="BB164">
        <f t="shared" si="193"/>
        <v>0.44621216198702779</v>
      </c>
      <c r="BC164" s="41" t="str">
        <f t="shared" si="194"/>
        <v>-1,32208638978135+2,77801305744146i</v>
      </c>
      <c r="BD164">
        <f t="shared" si="195"/>
        <v>9.7613295958341713</v>
      </c>
      <c r="BE164" s="43">
        <f t="shared" si="196"/>
        <v>115.45028089934088</v>
      </c>
      <c r="BF164" s="41" t="str">
        <f t="shared" si="197"/>
        <v>18,2301059549944+14,263698827851i</v>
      </c>
      <c r="BG164" s="20">
        <f t="shared" si="198"/>
        <v>27.289944961670912</v>
      </c>
      <c r="BH164" s="43">
        <f t="shared" si="199"/>
        <v>38.040530670296505</v>
      </c>
      <c r="BI164" s="41" t="str">
        <f t="shared" si="152"/>
        <v>57,3621177635511+45,5545596666229i</v>
      </c>
      <c r="BJ164" s="20">
        <f t="shared" si="200"/>
        <v>37.296207588338419</v>
      </c>
      <c r="BK164" s="43">
        <f t="shared" si="153"/>
        <v>38.455111739373528</v>
      </c>
      <c r="BL164">
        <f t="shared" si="201"/>
        <v>27.289944961670912</v>
      </c>
      <c r="BM164" s="43">
        <f t="shared" si="202"/>
        <v>38.040530670296505</v>
      </c>
    </row>
    <row r="165" spans="14:65" x14ac:dyDescent="0.25">
      <c r="N165" s="9">
        <v>47</v>
      </c>
      <c r="O165" s="34">
        <f t="shared" si="154"/>
        <v>295.12092266663871</v>
      </c>
      <c r="P165" s="33" t="str">
        <f t="shared" si="155"/>
        <v>54,631621870174</v>
      </c>
      <c r="Q165" s="4" t="str">
        <f t="shared" si="156"/>
        <v>1+7,39054248746233i</v>
      </c>
      <c r="R165" s="4">
        <f t="shared" si="168"/>
        <v>7.4578896652461868</v>
      </c>
      <c r="S165" s="4">
        <f t="shared" si="169"/>
        <v>1.4363050606365042</v>
      </c>
      <c r="T165" s="4" t="str">
        <f t="shared" si="157"/>
        <v>1+0,0927149722570155i</v>
      </c>
      <c r="U165" s="4">
        <f t="shared" si="170"/>
        <v>1.004288835983264</v>
      </c>
      <c r="V165" s="4">
        <f t="shared" si="171"/>
        <v>9.2450672742613441E-2</v>
      </c>
      <c r="W165" t="str">
        <f t="shared" si="158"/>
        <v>1-0,0073788858085542i</v>
      </c>
      <c r="X165" s="4">
        <f t="shared" si="172"/>
        <v>1.0000272236073253</v>
      </c>
      <c r="Y165" s="4">
        <f t="shared" si="173"/>
        <v>-7.3787518911796962E-3</v>
      </c>
      <c r="Z165" t="str">
        <f t="shared" si="159"/>
        <v>0,999999651614564+0,00101379922935241i</v>
      </c>
      <c r="AA165" s="4">
        <f t="shared" si="174"/>
        <v>1.0000001655090498</v>
      </c>
      <c r="AB165" s="4">
        <f t="shared" si="175"/>
        <v>1.0137992352214134E-3</v>
      </c>
      <c r="AC165" s="47" t="str">
        <f t="shared" si="176"/>
        <v>1,59509053206491-7,18196207811378i</v>
      </c>
      <c r="AD165" s="20">
        <f t="shared" si="177"/>
        <v>17.333970515794054</v>
      </c>
      <c r="AE165" s="43">
        <f t="shared" si="178"/>
        <v>-77.478042465347144</v>
      </c>
      <c r="AF165" t="str">
        <f t="shared" si="160"/>
        <v>171,265703090588</v>
      </c>
      <c r="AG165" t="str">
        <f t="shared" si="161"/>
        <v>1+7,31981486699266i</v>
      </c>
      <c r="AH165">
        <f t="shared" si="179"/>
        <v>7.3878068252389202</v>
      </c>
      <c r="AI165">
        <f t="shared" si="180"/>
        <v>1.4350213779571341</v>
      </c>
      <c r="AJ165" t="str">
        <f t="shared" si="162"/>
        <v>1+0,0927149722570155i</v>
      </c>
      <c r="AK165">
        <f t="shared" si="181"/>
        <v>1.004288835983264</v>
      </c>
      <c r="AL165">
        <f t="shared" si="182"/>
        <v>9.2450672742613441E-2</v>
      </c>
      <c r="AM165" t="str">
        <f t="shared" si="163"/>
        <v>1-0,00233124493249154i</v>
      </c>
      <c r="AN165">
        <f t="shared" si="183"/>
        <v>1.0000027173477757</v>
      </c>
      <c r="AO165">
        <f t="shared" si="184"/>
        <v>-2.3312407092974186E-3</v>
      </c>
      <c r="AP165" s="41" t="str">
        <f t="shared" si="185"/>
        <v>5,21459112751949-22,6902090523226i</v>
      </c>
      <c r="AQ165">
        <f t="shared" si="186"/>
        <v>27.340293715793287</v>
      </c>
      <c r="AR165" s="43">
        <f t="shared" si="187"/>
        <v>-77.057205360366453</v>
      </c>
      <c r="AS165" t="str">
        <f t="shared" si="164"/>
        <v>-0,0000166666666666667</v>
      </c>
      <c r="AT165" t="str">
        <f t="shared" si="165"/>
        <v>6,14514836119498E-06i</v>
      </c>
      <c r="AU165">
        <f t="shared" si="188"/>
        <v>6.1451483611949796E-6</v>
      </c>
      <c r="AV165">
        <f t="shared" si="189"/>
        <v>1.5707963267948966</v>
      </c>
      <c r="AW165" t="str">
        <f t="shared" si="166"/>
        <v>1+0,00206804186760368i</v>
      </c>
      <c r="AX165">
        <f t="shared" si="190"/>
        <v>1.0000021383962967</v>
      </c>
      <c r="AY165">
        <f t="shared" si="191"/>
        <v>2.0680389194127121E-3</v>
      </c>
      <c r="AZ165" t="str">
        <f t="shared" si="167"/>
        <v>1+0,489535053517042i</v>
      </c>
      <c r="BA165">
        <f t="shared" si="192"/>
        <v>1.1133932677279548</v>
      </c>
      <c r="BB165">
        <f t="shared" si="193"/>
        <v>0.45524065773178696</v>
      </c>
      <c r="BC165" s="41" t="str">
        <f t="shared" si="194"/>
        <v>-1,32208613529723+2,71490081562784i</v>
      </c>
      <c r="BD165">
        <f t="shared" si="195"/>
        <v>9.5992807889001348</v>
      </c>
      <c r="BE165" s="43">
        <f t="shared" si="196"/>
        <v>115.96487844883991</v>
      </c>
      <c r="BF165" s="41" t="str">
        <f t="shared" si="197"/>
        <v>17,3894676266924+13,825685074208i</v>
      </c>
      <c r="BG165" s="20">
        <f t="shared" si="198"/>
        <v>26.933251304694185</v>
      </c>
      <c r="BH165" s="43">
        <f t="shared" si="199"/>
        <v>38.486835983492853</v>
      </c>
      <c r="BI165" s="41" t="str">
        <f t="shared" si="152"/>
        <v>54,7075284319794+44,1555085003398i</v>
      </c>
      <c r="BJ165" s="20">
        <f t="shared" si="200"/>
        <v>36.939574504693425</v>
      </c>
      <c r="BK165" s="43">
        <f t="shared" si="153"/>
        <v>38.907673088473459</v>
      </c>
      <c r="BL165">
        <f t="shared" si="201"/>
        <v>26.933251304694185</v>
      </c>
      <c r="BM165" s="43">
        <f t="shared" si="202"/>
        <v>38.486835983492853</v>
      </c>
    </row>
    <row r="166" spans="14:65" x14ac:dyDescent="0.25">
      <c r="N166" s="9">
        <v>48</v>
      </c>
      <c r="O166" s="34">
        <f t="shared" si="154"/>
        <v>301.99517204020168</v>
      </c>
      <c r="P166" s="33" t="str">
        <f t="shared" si="155"/>
        <v>54,631621870174</v>
      </c>
      <c r="Q166" s="4" t="str">
        <f t="shared" si="156"/>
        <v>1+7,56269033657337i</v>
      </c>
      <c r="R166" s="4">
        <f t="shared" si="168"/>
        <v>7.6285178853365885</v>
      </c>
      <c r="S166" s="4">
        <f t="shared" si="169"/>
        <v>1.4393309018979534</v>
      </c>
      <c r="T166" s="4" t="str">
        <f t="shared" si="157"/>
        <v>1+0,0948745813901085i</v>
      </c>
      <c r="U166" s="4">
        <f t="shared" si="170"/>
        <v>1.0044905107535602</v>
      </c>
      <c r="V166" s="4">
        <f t="shared" si="171"/>
        <v>9.4591447690385091E-2</v>
      </c>
      <c r="W166" t="str">
        <f t="shared" si="158"/>
        <v>1-0,00755076213873342i</v>
      </c>
      <c r="X166" s="4">
        <f t="shared" si="172"/>
        <v>1.0000285065981249</v>
      </c>
      <c r="Y166" s="4">
        <f t="shared" si="173"/>
        <v>-7.5506186439022512E-3</v>
      </c>
      <c r="Z166" t="str">
        <f t="shared" si="159"/>
        <v>0,999999635195664+0,00103741364697595i</v>
      </c>
      <c r="AA166" s="4">
        <f t="shared" si="174"/>
        <v>1.0000001733092529</v>
      </c>
      <c r="AB166" s="4">
        <f t="shared" si="175"/>
        <v>1.0374136532646995E-3</v>
      </c>
      <c r="AC166" s="47" t="str">
        <f t="shared" si="176"/>
        <v>1,55213872537674-7,02442223119406i</v>
      </c>
      <c r="AD166" s="20">
        <f t="shared" si="177"/>
        <v>17.139241364022233</v>
      </c>
      <c r="AE166" s="43">
        <f t="shared" si="178"/>
        <v>-77.539953275769236</v>
      </c>
      <c r="AF166" t="str">
        <f t="shared" si="160"/>
        <v>171,265703090588</v>
      </c>
      <c r="AG166" t="str">
        <f t="shared" si="161"/>
        <v>1+7,49031525818607i</v>
      </c>
      <c r="AH166">
        <f t="shared" si="179"/>
        <v>7.5567732973151358</v>
      </c>
      <c r="AI166">
        <f t="shared" si="180"/>
        <v>1.4380754138033134</v>
      </c>
      <c r="AJ166" t="str">
        <f t="shared" si="162"/>
        <v>1+0,0948745813901085i</v>
      </c>
      <c r="AK166">
        <f t="shared" si="181"/>
        <v>1.0044905107535602</v>
      </c>
      <c r="AL166">
        <f t="shared" si="182"/>
        <v>9.4591447690385091E-2</v>
      </c>
      <c r="AM166" t="str">
        <f t="shared" si="163"/>
        <v>1-0,00238554660270861i</v>
      </c>
      <c r="AN166">
        <f t="shared" si="183"/>
        <v>1.0000028454122487</v>
      </c>
      <c r="AO166">
        <f t="shared" si="184"/>
        <v>-2.3855420774752745E-3</v>
      </c>
      <c r="AP166" s="41" t="str">
        <f t="shared" si="185"/>
        <v>5,07754932538152-22,1922456150637i</v>
      </c>
      <c r="AQ166">
        <f t="shared" si="186"/>
        <v>27.14562164647495</v>
      </c>
      <c r="AR166" s="43">
        <f t="shared" si="187"/>
        <v>-77.112642594657899</v>
      </c>
      <c r="AS166" t="str">
        <f t="shared" si="164"/>
        <v>-0,0000166666666666667</v>
      </c>
      <c r="AT166" t="str">
        <f t="shared" si="165"/>
        <v>6,28828725453638E-06i</v>
      </c>
      <c r="AU166">
        <f t="shared" si="188"/>
        <v>6.2882872545363804E-6</v>
      </c>
      <c r="AV166">
        <f t="shared" si="189"/>
        <v>1.5707963267948966</v>
      </c>
      <c r="AW166" t="str">
        <f t="shared" si="166"/>
        <v>1+0,00211621275086204i</v>
      </c>
      <c r="AX166">
        <f t="shared" si="190"/>
        <v>1.0000022391756964</v>
      </c>
      <c r="AY166">
        <f t="shared" si="191"/>
        <v>2.1162095918188847E-3</v>
      </c>
      <c r="AZ166" t="str">
        <f t="shared" si="167"/>
        <v>1+0,500937789739773i</v>
      </c>
      <c r="BA166">
        <f t="shared" si="192"/>
        <v>1.1184536955946673</v>
      </c>
      <c r="BB166">
        <f t="shared" si="193"/>
        <v>0.46439755933368365</v>
      </c>
      <c r="BC166" s="41" t="str">
        <f t="shared" si="194"/>
        <v>-1,32208586881974+2,65322805011301i</v>
      </c>
      <c r="BD166">
        <f t="shared" si="195"/>
        <v>9.4386682712729488</v>
      </c>
      <c r="BE166" s="43">
        <f t="shared" si="196"/>
        <v>116.48677028781992</v>
      </c>
      <c r="BF166" s="41" t="str">
        <f t="shared" si="197"/>
        <v>16,585333424373+13,4050673723211i</v>
      </c>
      <c r="BG166" s="20">
        <f t="shared" si="198"/>
        <v>26.577909635295175</v>
      </c>
      <c r="BH166" s="43">
        <f t="shared" si="199"/>
        <v>38.946817012050694</v>
      </c>
      <c r="BI166" s="41" t="str">
        <f t="shared" si="152"/>
        <v>52,1681323495623+42,8119506209872i</v>
      </c>
      <c r="BJ166" s="20">
        <f t="shared" si="200"/>
        <v>36.584289917747896</v>
      </c>
      <c r="BK166" s="43">
        <f t="shared" si="153"/>
        <v>39.374127693162045</v>
      </c>
      <c r="BL166">
        <f t="shared" si="201"/>
        <v>26.577909635295175</v>
      </c>
      <c r="BM166" s="43">
        <f t="shared" si="202"/>
        <v>38.946817012050694</v>
      </c>
    </row>
    <row r="167" spans="14:65" x14ac:dyDescent="0.25">
      <c r="N167" s="9">
        <v>49</v>
      </c>
      <c r="O167" s="34">
        <f t="shared" si="154"/>
        <v>309.02954325135937</v>
      </c>
      <c r="P167" s="33" t="str">
        <f t="shared" si="155"/>
        <v>54,631621870174</v>
      </c>
      <c r="Q167" s="4" t="str">
        <f t="shared" si="156"/>
        <v>1+7,73884802420491i</v>
      </c>
      <c r="R167" s="4">
        <f t="shared" si="168"/>
        <v>7.803189651786008</v>
      </c>
      <c r="S167" s="4">
        <f t="shared" si="169"/>
        <v>1.4422902080951243</v>
      </c>
      <c r="T167" s="4" t="str">
        <f t="shared" si="157"/>
        <v>1+0,097084494282068i</v>
      </c>
      <c r="U167" s="4">
        <f t="shared" si="170"/>
        <v>1.0047016467738097</v>
      </c>
      <c r="V167" s="4">
        <f t="shared" si="171"/>
        <v>9.678118768194123E-2</v>
      </c>
      <c r="W167" t="str">
        <f t="shared" si="158"/>
        <v>1-0,00772664198294474i</v>
      </c>
      <c r="X167" s="4">
        <f t="shared" si="172"/>
        <v>1.0000298500526534</v>
      </c>
      <c r="Y167" s="4">
        <f t="shared" si="173"/>
        <v>-7.7264882257108156E-3</v>
      </c>
      <c r="Z167" t="str">
        <f t="shared" si="159"/>
        <v>0,999999618002966+0,00106157811504691i</v>
      </c>
      <c r="AA167" s="4">
        <f t="shared" si="174"/>
        <v>1.0000001814770698</v>
      </c>
      <c r="AB167" s="4">
        <f t="shared" si="175"/>
        <v>1.0615781217854243E-3</v>
      </c>
      <c r="AC167" s="47" t="str">
        <f t="shared" si="176"/>
        <v>1,51105505175905-6,87010385836361i</v>
      </c>
      <c r="AD167" s="20">
        <f t="shared" si="177"/>
        <v>16.944438605414199</v>
      </c>
      <c r="AE167" s="43">
        <f t="shared" si="178"/>
        <v>-77.595507278249599</v>
      </c>
      <c r="AF167" t="str">
        <f t="shared" si="160"/>
        <v>171,265703090588</v>
      </c>
      <c r="AG167" t="str">
        <f t="shared" si="161"/>
        <v>1+7,66478711367541i</v>
      </c>
      <c r="AH167">
        <f t="shared" si="179"/>
        <v>7.7297452414658929</v>
      </c>
      <c r="AI167">
        <f t="shared" si="180"/>
        <v>1.4410623397214586</v>
      </c>
      <c r="AJ167" t="str">
        <f t="shared" si="162"/>
        <v>1+0,097084494282068i</v>
      </c>
      <c r="AK167">
        <f t="shared" si="181"/>
        <v>1.0047016467738097</v>
      </c>
      <c r="AL167">
        <f t="shared" si="182"/>
        <v>9.678118768194123E-2</v>
      </c>
      <c r="AM167" t="str">
        <f t="shared" si="163"/>
        <v>1-0,00244111312131088i</v>
      </c>
      <c r="AN167">
        <f t="shared" si="183"/>
        <v>1.0000029795121967</v>
      </c>
      <c r="AO167">
        <f t="shared" si="184"/>
        <v>-2.4411082724367806E-3</v>
      </c>
      <c r="AP167" s="41" t="str">
        <f t="shared" si="185"/>
        <v>4,94646409487957-21,7044290353234i</v>
      </c>
      <c r="AQ167">
        <f t="shared" si="186"/>
        <v>26.950872585639946</v>
      </c>
      <c r="AR167" s="43">
        <f t="shared" si="187"/>
        <v>-77.161501692193568</v>
      </c>
      <c r="AS167" t="str">
        <f t="shared" si="164"/>
        <v>-0,0000166666666666667</v>
      </c>
      <c r="AT167" t="str">
        <f t="shared" si="165"/>
        <v>6,43476028101547E-06i</v>
      </c>
      <c r="AU167">
        <f t="shared" si="188"/>
        <v>6.4347602810154702E-6</v>
      </c>
      <c r="AV167">
        <f t="shared" si="189"/>
        <v>1.5707963267948966</v>
      </c>
      <c r="AW167" t="str">
        <f t="shared" si="166"/>
        <v>1+0,00216550567813231i</v>
      </c>
      <c r="AX167">
        <f t="shared" si="190"/>
        <v>1.0000023447046722</v>
      </c>
      <c r="AY167">
        <f t="shared" si="191"/>
        <v>2.1655022931570118E-3</v>
      </c>
      <c r="AZ167" t="str">
        <f t="shared" si="167"/>
        <v>1+0,512606129809319i</v>
      </c>
      <c r="BA167">
        <f t="shared" si="192"/>
        <v>1.1237281896962843</v>
      </c>
      <c r="BB167">
        <f t="shared" si="193"/>
        <v>0.47368157858554705</v>
      </c>
      <c r="BC167" s="41" t="str">
        <f t="shared" si="194"/>
        <v>-1,32208558978367+2,5929620611768i</v>
      </c>
      <c r="BD167">
        <f t="shared" si="195"/>
        <v>9.2795326907627853</v>
      </c>
      <c r="BE167" s="43">
        <f t="shared" si="196"/>
        <v>117.01588114412246</v>
      </c>
      <c r="BF167" s="41" t="str">
        <f t="shared" si="197"/>
        <v>15,8161745517807+13,0009737330205i</v>
      </c>
      <c r="BG167" s="20">
        <f t="shared" si="198"/>
        <v>26.223971296176977</v>
      </c>
      <c r="BH167" s="43">
        <f t="shared" si="199"/>
        <v>39.420373865872975</v>
      </c>
      <c r="BI167" s="41" t="str">
        <f t="shared" si="152"/>
        <v>49,7391121478751+41,5211065970793i</v>
      </c>
      <c r="BJ167" s="20">
        <f t="shared" si="200"/>
        <v>36.23040527640272</v>
      </c>
      <c r="BK167" s="43">
        <f t="shared" si="153"/>
        <v>39.854379451928914</v>
      </c>
      <c r="BL167">
        <f t="shared" si="201"/>
        <v>26.223971296176977</v>
      </c>
      <c r="BM167" s="43">
        <f t="shared" si="202"/>
        <v>39.420373865872975</v>
      </c>
    </row>
    <row r="168" spans="14:65" x14ac:dyDescent="0.25">
      <c r="N168" s="9">
        <v>50</v>
      </c>
      <c r="O168" s="34">
        <f t="shared" si="154"/>
        <v>316.22776601683825</v>
      </c>
      <c r="P168" s="33" t="str">
        <f t="shared" si="155"/>
        <v>54,631621870174</v>
      </c>
      <c r="Q168" s="4" t="str">
        <f t="shared" si="156"/>
        <v>1+7,91910895149463i</v>
      </c>
      <c r="R168" s="4">
        <f t="shared" si="168"/>
        <v>7.9819976563290451</v>
      </c>
      <c r="S168" s="4">
        <f t="shared" si="169"/>
        <v>1.4451843408524789</v>
      </c>
      <c r="T168" s="4" t="str">
        <f t="shared" si="157"/>
        <v>1+0,099345882657961i</v>
      </c>
      <c r="U168" s="4">
        <f t="shared" si="170"/>
        <v>1.0049226857828861</v>
      </c>
      <c r="V168" s="4">
        <f t="shared" si="171"/>
        <v>9.9020969702421885E-2</v>
      </c>
      <c r="W168" t="str">
        <f t="shared" si="158"/>
        <v>1-0,00790661859500961i</v>
      </c>
      <c r="X168" s="4">
        <f t="shared" si="172"/>
        <v>1.0000312568203091</v>
      </c>
      <c r="Y168" s="4">
        <f t="shared" si="173"/>
        <v>-7.9064538414432596E-3</v>
      </c>
      <c r="Z168" t="str">
        <f t="shared" si="159"/>
        <v>0,9999996+0,00108630544588612i</v>
      </c>
      <c r="AA168" s="4">
        <f t="shared" si="174"/>
        <v>1.0000001900298228</v>
      </c>
      <c r="AB168" s="4">
        <f t="shared" si="175"/>
        <v>1.0863054531065669E-3</v>
      </c>
      <c r="AC168" s="47" t="str">
        <f t="shared" si="176"/>
        <v>1,47176101104477-6,71895761738416i</v>
      </c>
      <c r="AD168" s="20">
        <f t="shared" si="177"/>
        <v>16.749572803033903</v>
      </c>
      <c r="AE168" s="43">
        <f t="shared" si="178"/>
        <v>-77.644726855756019</v>
      </c>
      <c r="AF168" t="str">
        <f t="shared" si="160"/>
        <v>171,265703090588</v>
      </c>
      <c r="AG168" t="str">
        <f t="shared" si="161"/>
        <v>1+7,84332294074787i</v>
      </c>
      <c r="AH168">
        <f t="shared" si="179"/>
        <v>7.9068144503878308</v>
      </c>
      <c r="AI168">
        <f t="shared" si="180"/>
        <v>1.4439835261179816</v>
      </c>
      <c r="AJ168" t="str">
        <f t="shared" si="162"/>
        <v>1+0,099345882657961i</v>
      </c>
      <c r="AK168">
        <f t="shared" si="181"/>
        <v>1.0049226857828861</v>
      </c>
      <c r="AL168">
        <f t="shared" si="182"/>
        <v>9.9020969702421885E-2</v>
      </c>
      <c r="AM168" t="str">
        <f t="shared" si="163"/>
        <v>1-0,00249797395040202i</v>
      </c>
      <c r="AN168">
        <f t="shared" si="183"/>
        <v>1.0000031199320616</v>
      </c>
      <c r="AO168">
        <f t="shared" si="184"/>
        <v>-2.4979687547406894E-3</v>
      </c>
      <c r="AP168" s="41" t="str">
        <f t="shared" si="185"/>
        <v>4,82108548374856-21,2266051963385i</v>
      </c>
      <c r="AQ168">
        <f t="shared" si="186"/>
        <v>26.756057196637251</v>
      </c>
      <c r="AR168" s="43">
        <f t="shared" si="187"/>
        <v>-77.203801152739686</v>
      </c>
      <c r="AS168" t="str">
        <f t="shared" si="164"/>
        <v>-0,0000166666666666667</v>
      </c>
      <c r="AT168" t="str">
        <f t="shared" si="165"/>
        <v>6,58464510256966E-06i</v>
      </c>
      <c r="AU168">
        <f t="shared" si="188"/>
        <v>6.5846451025696601E-6</v>
      </c>
      <c r="AV168">
        <f t="shared" si="189"/>
        <v>1.5707963267948966</v>
      </c>
      <c r="AW168" t="str">
        <f t="shared" si="166"/>
        <v>1+0,00221594678517697i</v>
      </c>
      <c r="AX168">
        <f t="shared" si="190"/>
        <v>1.0000024552070634</v>
      </c>
      <c r="AY168">
        <f t="shared" si="191"/>
        <v>2.2159431581110713E-3</v>
      </c>
      <c r="AZ168" t="str">
        <f t="shared" si="167"/>
        <v>1+0,524546260434034i</v>
      </c>
      <c r="BA168">
        <f t="shared" si="192"/>
        <v>1.1292248577388515</v>
      </c>
      <c r="BB168">
        <f t="shared" si="193"/>
        <v>0.48309123533883236</v>
      </c>
      <c r="BC168" s="41" t="str">
        <f t="shared" si="194"/>
        <v>-1,32208529759717+2,53407089499039i</v>
      </c>
      <c r="BD168">
        <f t="shared" si="195"/>
        <v>9.1219148128197887</v>
      </c>
      <c r="BE168" s="43">
        <f t="shared" si="196"/>
        <v>117.55212471407562</v>
      </c>
      <c r="BF168" s="41" t="str">
        <f t="shared" si="197"/>
        <v>15,0805213486081+12,6125818235923i</v>
      </c>
      <c r="BG168" s="20">
        <f t="shared" si="198"/>
        <v>25.871487615853678</v>
      </c>
      <c r="BH168" s="43">
        <f t="shared" si="199"/>
        <v>39.907397858319683</v>
      </c>
      <c r="BI168" s="41" t="str">
        <f t="shared" si="152"/>
        <v>47,4158361909701+40,2803550546067i</v>
      </c>
      <c r="BJ168" s="20">
        <f t="shared" si="200"/>
        <v>35.877972009457039</v>
      </c>
      <c r="BK168" s="43">
        <f t="shared" si="153"/>
        <v>40.348323561335889</v>
      </c>
      <c r="BL168">
        <f t="shared" si="201"/>
        <v>25.871487615853678</v>
      </c>
      <c r="BM168" s="43">
        <f t="shared" si="202"/>
        <v>39.907397858319683</v>
      </c>
    </row>
    <row r="169" spans="14:65" x14ac:dyDescent="0.25">
      <c r="N169" s="9">
        <v>51</v>
      </c>
      <c r="O169" s="34">
        <f t="shared" si="154"/>
        <v>323.59365692962825</v>
      </c>
      <c r="P169" s="33" t="str">
        <f t="shared" si="155"/>
        <v>54,631621870174</v>
      </c>
      <c r="Q169" s="4" t="str">
        <f t="shared" si="156"/>
        <v>1+8,10356869517224i</v>
      </c>
      <c r="R169" s="4">
        <f t="shared" si="168"/>
        <v>8.1650367786909275</v>
      </c>
      <c r="S169" s="4">
        <f t="shared" si="169"/>
        <v>1.448014640644079</v>
      </c>
      <c r="T169" s="4" t="str">
        <f t="shared" si="157"/>
        <v>1+0,101659945535838i</v>
      </c>
      <c r="U169" s="4">
        <f t="shared" si="170"/>
        <v>1.0051540899416116</v>
      </c>
      <c r="V169" s="4">
        <f t="shared" si="171"/>
        <v>0.10131189137537217</v>
      </c>
      <c r="W169" t="str">
        <f t="shared" si="158"/>
        <v>1-0,00809078740091003i</v>
      </c>
      <c r="X169" s="4">
        <f t="shared" si="172"/>
        <v>1.0000327298847607</v>
      </c>
      <c r="Y169" s="4">
        <f t="shared" si="173"/>
        <v>-8.0906108645951314E-3</v>
      </c>
      <c r="Z169" t="str">
        <f t="shared" si="159"/>
        <v>0,999999581148581+0,00111160875025168i</v>
      </c>
      <c r="AA169" s="4">
        <f t="shared" si="174"/>
        <v>1.0000001989856557</v>
      </c>
      <c r="AB169" s="4">
        <f t="shared" si="175"/>
        <v>1.1116087579885264E-3</v>
      </c>
      <c r="AC169" s="47" t="str">
        <f t="shared" si="176"/>
        <v>1,43418116247345-6,57093379581256i</v>
      </c>
      <c r="AD169" s="20">
        <f t="shared" si="177"/>
        <v>16.554654406802946</v>
      </c>
      <c r="AE169" s="43">
        <f t="shared" si="178"/>
        <v>-77.687632138288151</v>
      </c>
      <c r="AF169" t="str">
        <f t="shared" si="160"/>
        <v>171,265703090588</v>
      </c>
      <c r="AG169" t="str">
        <f t="shared" si="161"/>
        <v>1+8,02601740146216i</v>
      </c>
      <c r="AH169">
        <f t="shared" si="179"/>
        <v>8.0880748839617844</v>
      </c>
      <c r="AI169">
        <f t="shared" si="180"/>
        <v>1.4468403223189468</v>
      </c>
      <c r="AJ169" t="str">
        <f t="shared" si="162"/>
        <v>1+0,101659945535838i</v>
      </c>
      <c r="AK169">
        <f t="shared" si="181"/>
        <v>1.0051540899416116</v>
      </c>
      <c r="AL169">
        <f t="shared" si="182"/>
        <v>0.10131189137537217</v>
      </c>
      <c r="AM169" t="str">
        <f t="shared" si="163"/>
        <v>1-0,00255615923834626i</v>
      </c>
      <c r="AN169">
        <f t="shared" si="183"/>
        <v>1.0000032669696892</v>
      </c>
      <c r="AO169">
        <f t="shared" si="184"/>
        <v>-2.5561536710958228E-3</v>
      </c>
      <c r="AP169" s="41" t="str">
        <f t="shared" si="185"/>
        <v>4,70117325121959-20,7586186823976i</v>
      </c>
      <c r="AQ169">
        <f t="shared" si="186"/>
        <v>26.561186023867506</v>
      </c>
      <c r="AR169" s="43">
        <f t="shared" si="187"/>
        <v>-77.239557125067336</v>
      </c>
      <c r="AS169" t="str">
        <f t="shared" si="164"/>
        <v>-0,0000166666666666667</v>
      </c>
      <c r="AT169" t="str">
        <f t="shared" si="165"/>
        <v>6,73802119011532E-06i</v>
      </c>
      <c r="AU169">
        <f t="shared" si="188"/>
        <v>6.7380211901153198E-6</v>
      </c>
      <c r="AV169">
        <f t="shared" si="189"/>
        <v>1.5707963267948966</v>
      </c>
      <c r="AW169" t="str">
        <f t="shared" si="166"/>
        <v>1+0,00226756281653866i</v>
      </c>
      <c r="AX169">
        <f t="shared" si="190"/>
        <v>1.0000025709172586</v>
      </c>
      <c r="AY169">
        <f t="shared" si="191"/>
        <v>2.2675589300680675E-3</v>
      </c>
      <c r="AZ169" t="str">
        <f t="shared" si="167"/>
        <v>1+0,536764512429222i</v>
      </c>
      <c r="BA169">
        <f t="shared" si="192"/>
        <v>1.1349520438341791</v>
      </c>
      <c r="BB169">
        <f t="shared" si="193"/>
        <v>0.4926248526693916</v>
      </c>
      <c r="BC169" s="41" t="str">
        <f t="shared" si="194"/>
        <v>-1,32208499164048+2,47652332667384i</v>
      </c>
      <c r="BD169">
        <f t="shared" si="195"/>
        <v>8.9658554383281182</v>
      </c>
      <c r="BE169" s="43">
        <f t="shared" si="196"/>
        <v>118.09540338472002</v>
      </c>
      <c r="BF169" s="41" t="str">
        <f t="shared" si="197"/>
        <v>14,3769614331596+12,2391160560487i</v>
      </c>
      <c r="BG169" s="20">
        <f t="shared" si="198"/>
        <v>25.520509845131048</v>
      </c>
      <c r="BH169" s="43">
        <f t="shared" si="199"/>
        <v>40.407771246431942</v>
      </c>
      <c r="BI169" s="41" t="str">
        <f t="shared" si="152"/>
        <v>45,1938527979459+39,087223426566i</v>
      </c>
      <c r="BJ169" s="20">
        <f t="shared" si="200"/>
        <v>35.527041462195619</v>
      </c>
      <c r="BK169" s="43">
        <f t="shared" si="153"/>
        <v>40.855846259652743</v>
      </c>
      <c r="BL169">
        <f t="shared" si="201"/>
        <v>25.520509845131048</v>
      </c>
      <c r="BM169" s="43">
        <f t="shared" si="202"/>
        <v>40.407771246431942</v>
      </c>
    </row>
    <row r="170" spans="14:65" x14ac:dyDescent="0.25">
      <c r="N170" s="9">
        <v>52</v>
      </c>
      <c r="O170" s="34">
        <f t="shared" si="154"/>
        <v>331.13112148259137</v>
      </c>
      <c r="P170" s="33" t="str">
        <f t="shared" si="155"/>
        <v>54,631621870174</v>
      </c>
      <c r="Q170" s="4" t="str">
        <f t="shared" si="156"/>
        <v>1+8,29232505823547i</v>
      </c>
      <c r="R170" s="4">
        <f t="shared" si="168"/>
        <v>8.3524041372194091</v>
      </c>
      <c r="S170" s="4">
        <f t="shared" si="169"/>
        <v>1.4507824266562805</v>
      </c>
      <c r="T170" s="4" t="str">
        <f t="shared" si="157"/>
        <v>1+0,104027909862466i</v>
      </c>
      <c r="U170" s="4">
        <f t="shared" si="170"/>
        <v>1.0053963427575978</v>
      </c>
      <c r="V170" s="4">
        <f t="shared" si="171"/>
        <v>0.10365507113709313</v>
      </c>
      <c r="W170" t="str">
        <f t="shared" si="158"/>
        <v>1-0,00827924604938468i</v>
      </c>
      <c r="X170" s="4">
        <f t="shared" si="172"/>
        <v>1.0000342723702753</v>
      </c>
      <c r="Y170" s="4">
        <f t="shared" si="173"/>
        <v>-8.2790568876653179E-3</v>
      </c>
      <c r="Z170" t="str">
        <f t="shared" si="159"/>
        <v>0,999999561408722+0,00113750144429052i</v>
      </c>
      <c r="AA170" s="4">
        <f t="shared" si="174"/>
        <v>1.0000002083635644</v>
      </c>
      <c r="AB170" s="4">
        <f t="shared" si="175"/>
        <v>1.1375014525806977E-3</v>
      </c>
      <c r="AC170" s="47" t="str">
        <f t="shared" si="176"/>
        <v>1,39824302647914-6,42598240945452i</v>
      </c>
      <c r="AD170" s="20">
        <f t="shared" si="177"/>
        <v>16.359693772104734</v>
      </c>
      <c r="AE170" s="43">
        <f t="shared" si="178"/>
        <v>-77.724240988303805</v>
      </c>
      <c r="AF170" t="str">
        <f t="shared" si="160"/>
        <v>171,265703090588</v>
      </c>
      <c r="AG170" t="str">
        <f t="shared" si="161"/>
        <v>1+8,21296736283964i</v>
      </c>
      <c r="AH170">
        <f t="shared" si="179"/>
        <v>8.2736227194058767</v>
      </c>
      <c r="AI170">
        <f t="shared" si="180"/>
        <v>1.4496340564149621</v>
      </c>
      <c r="AJ170" t="str">
        <f t="shared" si="162"/>
        <v>1+0,104027909862466i</v>
      </c>
      <c r="AK170">
        <f t="shared" si="181"/>
        <v>1.0053963427575978</v>
      </c>
      <c r="AL170">
        <f t="shared" si="182"/>
        <v>0.10365507113709313</v>
      </c>
      <c r="AM170" t="str">
        <f t="shared" si="163"/>
        <v>1-0,00261569983575344i</v>
      </c>
      <c r="AN170">
        <f t="shared" si="183"/>
        <v>1.0000034209369639</v>
      </c>
      <c r="AO170">
        <f t="shared" si="184"/>
        <v>-2.6156938703382217E-3</v>
      </c>
      <c r="AP170" s="41" t="str">
        <f t="shared" si="185"/>
        <v>4,5864965590332-20,3003130969207i</v>
      </c>
      <c r="AQ170">
        <f t="shared" si="186"/>
        <v>26.366269511490547</v>
      </c>
      <c r="AR170" s="43">
        <f t="shared" si="187"/>
        <v>-77.268783388991679</v>
      </c>
      <c r="AS170" t="str">
        <f t="shared" si="164"/>
        <v>-0,0000166666666666667</v>
      </c>
      <c r="AT170" t="str">
        <f t="shared" si="165"/>
        <v>6,89496986568424E-06i</v>
      </c>
      <c r="AU170">
        <f t="shared" si="188"/>
        <v>6.8949698656842403E-6</v>
      </c>
      <c r="AV170">
        <f t="shared" si="189"/>
        <v>1.5707963267948966</v>
      </c>
      <c r="AW170" t="str">
        <f t="shared" si="166"/>
        <v>1+0,00232038113972042i</v>
      </c>
      <c r="AX170">
        <f t="shared" si="190"/>
        <v>1.0000026920806933</v>
      </c>
      <c r="AY170">
        <f t="shared" si="191"/>
        <v>2.3203769752927561E-3</v>
      </c>
      <c r="AZ170" t="str">
        <f t="shared" si="167"/>
        <v>1+0,54926736407382i</v>
      </c>
      <c r="BA170">
        <f t="shared" si="192"/>
        <v>1.1409183306602635</v>
      </c>
      <c r="BB170">
        <f t="shared" si="193"/>
        <v>0.50228055252330417</v>
      </c>
      <c r="BC170" s="41" t="str">
        <f t="shared" si="194"/>
        <v>-1,32208467126464+2,42028884374034i</v>
      </c>
      <c r="BD170">
        <f t="shared" si="195"/>
        <v>8.811395316736137</v>
      </c>
      <c r="BE170" s="43">
        <f t="shared" si="196"/>
        <v>118.64560798352065</v>
      </c>
      <c r="BF170" s="41" t="str">
        <f t="shared" si="197"/>
        <v>13,7041378636637+11,8798448391812i</v>
      </c>
      <c r="BG170" s="20">
        <f t="shared" si="198"/>
        <v>25.171089088840862</v>
      </c>
      <c r="BH170" s="43">
        <f t="shared" si="199"/>
        <v>40.921366995216758</v>
      </c>
      <c r="BI170" s="41" t="str">
        <f t="shared" si="152"/>
        <v>43,0688845174073+37,9393792209932i</v>
      </c>
      <c r="BJ170" s="20">
        <f t="shared" si="200"/>
        <v>35.177664828226682</v>
      </c>
      <c r="BK170" s="43">
        <f t="shared" si="153"/>
        <v>41.376824594528962</v>
      </c>
      <c r="BL170">
        <f t="shared" si="201"/>
        <v>25.171089088840862</v>
      </c>
      <c r="BM170" s="43">
        <f t="shared" si="202"/>
        <v>40.921366995216758</v>
      </c>
    </row>
    <row r="171" spans="14:65" x14ac:dyDescent="0.25">
      <c r="N171" s="9">
        <v>53</v>
      </c>
      <c r="O171" s="34">
        <f t="shared" si="154"/>
        <v>338.84415613920277</v>
      </c>
      <c r="P171" s="33" t="str">
        <f t="shared" si="155"/>
        <v>54,631621870174</v>
      </c>
      <c r="Q171" s="4" t="str">
        <f t="shared" si="156"/>
        <v>1+8,48547812180642i</v>
      </c>
      <c r="R171" s="4">
        <f t="shared" si="168"/>
        <v>8.5441991406834266</v>
      </c>
      <c r="S171" s="4">
        <f t="shared" si="169"/>
        <v>1.4534889966908304</v>
      </c>
      <c r="T171" s="4" t="str">
        <f t="shared" si="157"/>
        <v>1+0,106451031163875i</v>
      </c>
      <c r="U171" s="4">
        <f t="shared" si="170"/>
        <v>1.0056499500501417</v>
      </c>
      <c r="V171" s="4">
        <f t="shared" si="171"/>
        <v>0.10605164839454306</v>
      </c>
      <c r="W171" t="str">
        <f t="shared" si="158"/>
        <v>1-0,00847209446370343i</v>
      </c>
      <c r="X171" s="4">
        <f t="shared" si="172"/>
        <v>1.0000358875483428</v>
      </c>
      <c r="Y171" s="4">
        <f t="shared" si="173"/>
        <v>-8.4718917736621695E-3</v>
      </c>
      <c r="Z171" t="str">
        <f t="shared" si="159"/>
        <v>0,999999540738551+0,00116399725665172i</v>
      </c>
      <c r="AA171" s="4">
        <f t="shared" si="174"/>
        <v>1.0000002181834393</v>
      </c>
      <c r="AB171" s="4">
        <f t="shared" si="175"/>
        <v>1.1639972655348042E-3</v>
      </c>
      <c r="AC171" s="47" t="str">
        <f t="shared" si="176"/>
        <v>1,36387698769653-6,28405329360352i</v>
      </c>
      <c r="AD171" s="20">
        <f t="shared" si="177"/>
        <v>16.164701178318865</v>
      </c>
      <c r="AE171" s="43">
        <f t="shared" si="178"/>
        <v>-77.754568989478727</v>
      </c>
      <c r="AF171" t="str">
        <f t="shared" si="160"/>
        <v>171,265703090588</v>
      </c>
      <c r="AG171" t="str">
        <f t="shared" si="161"/>
        <v>1+8,40427194822432i</v>
      </c>
      <c r="AH171">
        <f t="shared" si="179"/>
        <v>8.4635564025833858</v>
      </c>
      <c r="AI171">
        <f t="shared" si="180"/>
        <v>1.4523660351477776</v>
      </c>
      <c r="AJ171" t="str">
        <f t="shared" si="162"/>
        <v>1+0,106451031163875i</v>
      </c>
      <c r="AK171">
        <f t="shared" si="181"/>
        <v>1.0056499500501417</v>
      </c>
      <c r="AL171">
        <f t="shared" si="182"/>
        <v>0.10605164839454306</v>
      </c>
      <c r="AM171" t="str">
        <f t="shared" si="163"/>
        <v>1-0,00267662731183641i</v>
      </c>
      <c r="AN171">
        <f t="shared" si="183"/>
        <v>1.0000035821604674</v>
      </c>
      <c r="AO171">
        <f t="shared" si="184"/>
        <v>-2.6766209197800765E-3</v>
      </c>
      <c r="AP171" s="41" t="str">
        <f t="shared" si="185"/>
        <v>4,4768336659892-19,8515313574133i</v>
      </c>
      <c r="AQ171">
        <f t="shared" si="186"/>
        <v>26.171318022058529</v>
      </c>
      <c r="AR171" s="43">
        <f t="shared" si="187"/>
        <v>-77.291491340763812</v>
      </c>
      <c r="AS171" t="str">
        <f t="shared" si="164"/>
        <v>-0,0000166666666666667</v>
      </c>
      <c r="AT171" t="str">
        <f t="shared" si="165"/>
        <v>7,05557434554165E-06i</v>
      </c>
      <c r="AU171">
        <f t="shared" si="188"/>
        <v>7.0555743455416499E-6</v>
      </c>
      <c r="AV171">
        <f t="shared" si="189"/>
        <v>1.5707963267948966</v>
      </c>
      <c r="AW171" t="str">
        <f t="shared" si="166"/>
        <v>1+0,00237442975969633i</v>
      </c>
      <c r="AX171">
        <f t="shared" si="190"/>
        <v>1.0000028189543686</v>
      </c>
      <c r="AY171">
        <f t="shared" si="191"/>
        <v>2.3744252974323725E-3</v>
      </c>
      <c r="AZ171" t="str">
        <f t="shared" si="167"/>
        <v>1+0,56206144454526i</v>
      </c>
      <c r="BA171">
        <f t="shared" si="192"/>
        <v>1.1471325413588025</v>
      </c>
      <c r="BB171">
        <f t="shared" si="193"/>
        <v>0.51205625189818205</v>
      </c>
      <c r="BC171" s="41" t="str">
        <f t="shared" si="194"/>
        <v>-1,32208433579012+2,365337629918i</v>
      </c>
      <c r="BD171">
        <f t="shared" si="195"/>
        <v>8.6585750547094733</v>
      </c>
      <c r="BE171" s="43">
        <f t="shared" si="196"/>
        <v>119.20261755874164</v>
      </c>
      <c r="BF171" s="41" t="str">
        <f t="shared" si="197"/>
        <v>13,0607473223924+11,5340779863213i</v>
      </c>
      <c r="BG171" s="20">
        <f t="shared" si="198"/>
        <v>24.823276233028345</v>
      </c>
      <c r="BH171" s="43">
        <f t="shared" si="199"/>
        <v>41.44804856926271</v>
      </c>
      <c r="BI171" s="41" t="str">
        <f t="shared" si="152"/>
        <v>41,0368224674447+36,8346217821305i</v>
      </c>
      <c r="BJ171" s="20">
        <f t="shared" si="200"/>
        <v>34.829893076768009</v>
      </c>
      <c r="BK171" s="43">
        <f t="shared" si="153"/>
        <v>41.911126217977767</v>
      </c>
      <c r="BL171">
        <f t="shared" si="201"/>
        <v>24.823276233028345</v>
      </c>
      <c r="BM171" s="43">
        <f t="shared" si="202"/>
        <v>41.44804856926271</v>
      </c>
    </row>
    <row r="172" spans="14:65" x14ac:dyDescent="0.25">
      <c r="N172" s="9">
        <v>54</v>
      </c>
      <c r="O172" s="34">
        <f t="shared" si="154"/>
        <v>346.73685045253183</v>
      </c>
      <c r="P172" s="33" t="str">
        <f t="shared" si="155"/>
        <v>54,631621870174</v>
      </c>
      <c r="Q172" s="4" t="str">
        <f t="shared" si="156"/>
        <v>1+8,68313029819617i</v>
      </c>
      <c r="R172" s="4">
        <f t="shared" si="168"/>
        <v>8.7405235412675548</v>
      </c>
      <c r="S172" s="4">
        <f t="shared" si="169"/>
        <v>1.4561356271053851</v>
      </c>
      <c r="T172" s="4" t="str">
        <f t="shared" si="157"/>
        <v>1+0,108930594211053i</v>
      </c>
      <c r="U172" s="4">
        <f t="shared" si="170"/>
        <v>1.0059154409567304</v>
      </c>
      <c r="V172" s="4">
        <f t="shared" si="171"/>
        <v>0.10850278366509331</v>
      </c>
      <c r="W172" t="str">
        <f t="shared" si="158"/>
        <v>1-0,00866943489464829i</v>
      </c>
      <c r="X172" s="4">
        <f t="shared" si="172"/>
        <v>1.0000375788446114</v>
      </c>
      <c r="Y172" s="4">
        <f t="shared" si="173"/>
        <v>-8.6692177087968805E-3</v>
      </c>
      <c r="Z172" t="str">
        <f t="shared" si="159"/>
        <v>0,999999519094226+0,00119111023576572i</v>
      </c>
      <c r="AA172" s="4">
        <f t="shared" si="174"/>
        <v>1.0000002284661125</v>
      </c>
      <c r="AB172" s="4">
        <f t="shared" si="175"/>
        <v>1.1911102452841135E-3</v>
      </c>
      <c r="AC172" s="47" t="str">
        <f t="shared" si="176"/>
        <v>1,33101619937858-6,14509618745679i</v>
      </c>
      <c r="AD172" s="20">
        <f t="shared" si="177"/>
        <v>15.969686847298297</v>
      </c>
      <c r="AE172" s="43">
        <f t="shared" si="178"/>
        <v>-77.778629438726881</v>
      </c>
      <c r="AF172" t="str">
        <f t="shared" si="160"/>
        <v>171,265703090588</v>
      </c>
      <c r="AG172" t="str">
        <f t="shared" si="161"/>
        <v>1+8,60003258983967i</v>
      </c>
      <c r="AH172">
        <f t="shared" si="179"/>
        <v>8.6579767004944301</v>
      </c>
      <c r="AI172">
        <f t="shared" si="180"/>
        <v>1.4550375438355296</v>
      </c>
      <c r="AJ172" t="str">
        <f t="shared" si="162"/>
        <v>1+0,108930594211053i</v>
      </c>
      <c r="AK172">
        <f t="shared" si="181"/>
        <v>1.0059154409567304</v>
      </c>
      <c r="AL172">
        <f t="shared" si="182"/>
        <v>0.10850278366509331</v>
      </c>
      <c r="AM172" t="str">
        <f t="shared" si="163"/>
        <v>1-0,00273897397114947i</v>
      </c>
      <c r="AN172">
        <f t="shared" si="183"/>
        <v>1.0000037509821724</v>
      </c>
      <c r="AO172">
        <f t="shared" si="184"/>
        <v>-2.7389671219390961E-3</v>
      </c>
      <c r="AP172" s="41" t="str">
        <f t="shared" si="185"/>
        <v>4,37197162667483-19,4121159685421i</v>
      </c>
      <c r="AQ172">
        <f t="shared" si="186"/>
        <v>25.976341855087618</v>
      </c>
      <c r="AR172" s="43">
        <f t="shared" si="187"/>
        <v>-77.30768998173869</v>
      </c>
      <c r="AS172" t="str">
        <f t="shared" si="164"/>
        <v>-0,0000166666666666667</v>
      </c>
      <c r="AT172" t="str">
        <f t="shared" si="165"/>
        <v>7,21991978430864E-06i</v>
      </c>
      <c r="AU172">
        <f t="shared" si="188"/>
        <v>7.2199197843086401E-6</v>
      </c>
      <c r="AV172">
        <f t="shared" si="189"/>
        <v>1.5707963267948966</v>
      </c>
      <c r="AW172" t="str">
        <f t="shared" si="166"/>
        <v>1+0,00242973733376013i</v>
      </c>
      <c r="AX172">
        <f t="shared" si="190"/>
        <v>1.000002951807399</v>
      </c>
      <c r="AY172">
        <f t="shared" si="191"/>
        <v>2.4297325523589168E-3</v>
      </c>
      <c r="AZ172" t="str">
        <f t="shared" si="167"/>
        <v>1+0,575153537434362i</v>
      </c>
      <c r="BA172">
        <f t="shared" si="192"/>
        <v>1.1536037411621289</v>
      </c>
      <c r="BB172">
        <f t="shared" si="193"/>
        <v>0.52194965961524653</v>
      </c>
      <c r="BC172" s="41" t="str">
        <f t="shared" si="194"/>
        <v>-1,32208398450536+2,3116405493409i</v>
      </c>
      <c r="BD172">
        <f t="shared" si="195"/>
        <v>8.5074350205455431</v>
      </c>
      <c r="BE172" s="43">
        <f t="shared" si="196"/>
        <v>119.76629919364787</v>
      </c>
      <c r="BF172" s="41" t="str">
        <f t="shared" si="197"/>
        <v>12,4455383262097+11,2011642709947i</v>
      </c>
      <c r="BG172" s="20">
        <f t="shared" si="198"/>
        <v>24.477121867843845</v>
      </c>
      <c r="BH172" s="43">
        <f t="shared" si="199"/>
        <v>41.987669754920901</v>
      </c>
      <c r="BI172" s="41" t="str">
        <f t="shared" si="152"/>
        <v>39,0937207530513+35,7708745201597i</v>
      </c>
      <c r="BJ172" s="20">
        <f t="shared" si="200"/>
        <v>34.483776875633161</v>
      </c>
      <c r="BK172" s="43">
        <f t="shared" si="153"/>
        <v>42.458609211909163</v>
      </c>
      <c r="BL172">
        <f t="shared" si="201"/>
        <v>24.477121867843845</v>
      </c>
      <c r="BM172" s="43">
        <f t="shared" si="202"/>
        <v>41.987669754920901</v>
      </c>
    </row>
    <row r="173" spans="14:65" x14ac:dyDescent="0.25">
      <c r="N173" s="9">
        <v>55</v>
      </c>
      <c r="O173" s="34">
        <f t="shared" si="154"/>
        <v>354.81338923357566</v>
      </c>
      <c r="P173" s="33" t="str">
        <f t="shared" si="155"/>
        <v>54,631621870174</v>
      </c>
      <c r="Q173" s="4" t="str">
        <f t="shared" si="156"/>
        <v>1+8,88538638520484i</v>
      </c>
      <c r="R173" s="4">
        <f t="shared" si="168"/>
        <v>8.9414814887905187</v>
      </c>
      <c r="S173" s="4">
        <f t="shared" si="169"/>
        <v>1.4587235727886048</v>
      </c>
      <c r="T173" s="4" t="str">
        <f t="shared" si="157"/>
        <v>1+0,11146791370115i</v>
      </c>
      <c r="U173" s="4">
        <f t="shared" si="170"/>
        <v>1.0061933689827651</v>
      </c>
      <c r="V173" s="4">
        <f t="shared" si="171"/>
        <v>0.11100965869634617</v>
      </c>
      <c r="W173" t="str">
        <f t="shared" si="158"/>
        <v>1-0,00887137197472783i</v>
      </c>
      <c r="X173" s="4">
        <f t="shared" si="172"/>
        <v>1.0000393498461517</v>
      </c>
      <c r="Y173" s="4">
        <f t="shared" si="173"/>
        <v>-8.8711392563897828E-3</v>
      </c>
      <c r="Z173" t="str">
        <f t="shared" si="159"/>
        <v>0,999999496429835+0,00121885475729294i</v>
      </c>
      <c r="AA173" s="4">
        <f t="shared" si="174"/>
        <v>1.0000002392333929</v>
      </c>
      <c r="AB173" s="4">
        <f t="shared" si="175"/>
        <v>1.2188547674920796E-3</v>
      </c>
      <c r="AC173" s="47" t="str">
        <f t="shared" si="176"/>
        <v>1,29959648939276-6,00906081208756i</v>
      </c>
      <c r="AD173" s="20">
        <f t="shared" si="177"/>
        <v>15.774660961804233</v>
      </c>
      <c r="AE173" s="43">
        <f t="shared" si="178"/>
        <v>-77.796433341423906</v>
      </c>
      <c r="AF173" t="str">
        <f t="shared" si="160"/>
        <v>171,265703090588</v>
      </c>
      <c r="AG173" t="str">
        <f t="shared" si="161"/>
        <v>1+8,80035308256904i</v>
      </c>
      <c r="AH173">
        <f t="shared" si="179"/>
        <v>8.8569867549795074</v>
      </c>
      <c r="AI173">
        <f t="shared" si="180"/>
        <v>1.4576498463337271</v>
      </c>
      <c r="AJ173" t="str">
        <f t="shared" si="162"/>
        <v>1+0,11146791370115i</v>
      </c>
      <c r="AK173">
        <f t="shared" si="181"/>
        <v>1.0061933689827651</v>
      </c>
      <c r="AL173">
        <f t="shared" si="182"/>
        <v>0.11100965869634617</v>
      </c>
      <c r="AM173" t="str">
        <f t="shared" si="163"/>
        <v>1-0,00280277287071664i</v>
      </c>
      <c r="AN173">
        <f t="shared" si="183"/>
        <v>1.0000039277601687</v>
      </c>
      <c r="AO173">
        <f t="shared" si="184"/>
        <v>-2.8027655316570561E-3</v>
      </c>
      <c r="AP173" s="41" t="str">
        <f t="shared" si="185"/>
        <v>4,27170599492871-18,9819092745377i</v>
      </c>
      <c r="AQ173">
        <f t="shared" si="186"/>
        <v>25.781351265582554</v>
      </c>
      <c r="AR173" s="43">
        <f t="shared" si="187"/>
        <v>-77.317385910255908</v>
      </c>
      <c r="AS173" t="str">
        <f t="shared" si="164"/>
        <v>-0,0000166666666666667</v>
      </c>
      <c r="AT173" t="str">
        <f t="shared" si="165"/>
        <v>0,0000073880933201122i</v>
      </c>
      <c r="AU173">
        <f t="shared" si="188"/>
        <v>7.3880933201121996E-6</v>
      </c>
      <c r="AV173">
        <f t="shared" si="189"/>
        <v>1.5707963267948966</v>
      </c>
      <c r="AW173" t="str">
        <f t="shared" si="166"/>
        <v>1+0,00248633318671966i</v>
      </c>
      <c r="AX173">
        <f t="shared" si="190"/>
        <v>1.0000030909215807</v>
      </c>
      <c r="AY173">
        <f t="shared" si="191"/>
        <v>2.4863280633568093E-3</v>
      </c>
      <c r="AZ173" t="str">
        <f t="shared" si="167"/>
        <v>1+0,588550584342069i</v>
      </c>
      <c r="BA173">
        <f t="shared" si="192"/>
        <v>1.1603412387437546</v>
      </c>
      <c r="BB173">
        <f t="shared" si="193"/>
        <v>0.53195827373664539</v>
      </c>
      <c r="BC173" s="41" t="str">
        <f t="shared" si="194"/>
        <v>-1,32208361666526+2,25916913110079i</v>
      </c>
      <c r="BD173">
        <f t="shared" si="195"/>
        <v>8.3580152446381053</v>
      </c>
      <c r="BE173" s="43">
        <f t="shared" si="196"/>
        <v>120.33650785765929</v>
      </c>
      <c r="BF173" s="41" t="str">
        <f t="shared" si="197"/>
        <v>11,8573094666738+10,8804891229293i</v>
      </c>
      <c r="BG173" s="20">
        <f t="shared" si="198"/>
        <v>24.132676206442344</v>
      </c>
      <c r="BH173" s="43">
        <f t="shared" si="199"/>
        <v>42.54007451623545</v>
      </c>
      <c r="BI173" s="41" t="str">
        <f t="shared" si="152"/>
        <v>37,2357909712853+34,7461775857738i</v>
      </c>
      <c r="BJ173" s="20">
        <f t="shared" si="200"/>
        <v>34.139366510220654</v>
      </c>
      <c r="BK173" s="43">
        <f t="shared" si="153"/>
        <v>43.019121947403448</v>
      </c>
      <c r="BL173">
        <f t="shared" si="201"/>
        <v>24.132676206442344</v>
      </c>
      <c r="BM173" s="43">
        <f t="shared" si="202"/>
        <v>42.54007451623545</v>
      </c>
    </row>
    <row r="174" spans="14:65" x14ac:dyDescent="0.25">
      <c r="N174" s="9">
        <v>56</v>
      </c>
      <c r="O174" s="34">
        <f t="shared" si="154"/>
        <v>363.07805477010152</v>
      </c>
      <c r="P174" s="33" t="str">
        <f t="shared" si="155"/>
        <v>54,631621870174</v>
      </c>
      <c r="Q174" s="4" t="str">
        <f t="shared" si="156"/>
        <v>1+9,09235362168696i</v>
      </c>
      <c r="R174" s="4">
        <f t="shared" si="168"/>
        <v>9.1471795861786802</v>
      </c>
      <c r="S174" s="4">
        <f t="shared" si="169"/>
        <v>1.4612540671671719</v>
      </c>
      <c r="T174" s="4" t="str">
        <f t="shared" si="157"/>
        <v>1+0,114064334954543i</v>
      </c>
      <c r="U174" s="4">
        <f t="shared" si="170"/>
        <v>1.0064843130961467</v>
      </c>
      <c r="V174" s="4">
        <f t="shared" si="171"/>
        <v>0.1135734765640873</v>
      </c>
      <c r="W174" t="str">
        <f t="shared" si="158"/>
        <v>1-0,0090780127736549i</v>
      </c>
      <c r="X174" s="4">
        <f t="shared" si="172"/>
        <v>1.0000412043090618</v>
      </c>
      <c r="Y174" s="4">
        <f t="shared" si="173"/>
        <v>-9.0777634120179033E-3</v>
      </c>
      <c r="Z174" t="str">
        <f t="shared" si="159"/>
        <v>0,999999472697305+0,00124724553174593i</v>
      </c>
      <c r="AA174" s="4">
        <f t="shared" si="174"/>
        <v>1.0000002505081209</v>
      </c>
      <c r="AB174" s="4">
        <f t="shared" si="175"/>
        <v>1.2472455426745005E-3</v>
      </c>
      <c r="AC174" s="47" t="str">
        <f t="shared" si="176"/>
        <v>1,26955626793818-5,87589694233647i</v>
      </c>
      <c r="AD174" s="20">
        <f t="shared" si="177"/>
        <v>15.579633683911201</v>
      </c>
      <c r="AE174" s="43">
        <f t="shared" si="178"/>
        <v>-77.807989409793592</v>
      </c>
      <c r="AF174" t="str">
        <f t="shared" si="160"/>
        <v>171,265703090588</v>
      </c>
      <c r="AG174" t="str">
        <f t="shared" si="161"/>
        <v>1+9,00533963898926i</v>
      </c>
      <c r="AH174">
        <f t="shared" si="179"/>
        <v>9.0606921376653791</v>
      </c>
      <c r="AI174">
        <f t="shared" si="180"/>
        <v>1.4602041850292549</v>
      </c>
      <c r="AJ174" t="str">
        <f t="shared" si="162"/>
        <v>1+0,114064334954543i</v>
      </c>
      <c r="AK174">
        <f t="shared" si="181"/>
        <v>1.0064843130961467</v>
      </c>
      <c r="AL174">
        <f t="shared" si="182"/>
        <v>0.1135734765640873</v>
      </c>
      <c r="AM174" t="str">
        <f t="shared" si="163"/>
        <v>1-0,00286805783755896i</v>
      </c>
      <c r="AN174">
        <f t="shared" si="183"/>
        <v>1.0000041128694219</v>
      </c>
      <c r="AO174">
        <f t="shared" si="184"/>
        <v>-2.86804997361668E-3</v>
      </c>
      <c r="AP174" s="41" t="str">
        <f t="shared" si="185"/>
        <v>4,17584053251714-18,5607536920785i</v>
      </c>
      <c r="AQ174">
        <f t="shared" si="186"/>
        <v>25.586356482525801</v>
      </c>
      <c r="AR174" s="43">
        <f t="shared" si="187"/>
        <v>-77.320583316686921</v>
      </c>
      <c r="AS174" t="str">
        <f t="shared" si="164"/>
        <v>-0,0000166666666666667</v>
      </c>
      <c r="AT174" t="str">
        <f t="shared" si="165"/>
        <v>7,56018412078707E-06i</v>
      </c>
      <c r="AU174">
        <f t="shared" si="188"/>
        <v>7.5601841207870698E-6</v>
      </c>
      <c r="AV174">
        <f t="shared" si="189"/>
        <v>1.5707963267948966</v>
      </c>
      <c r="AW174" t="str">
        <f t="shared" si="166"/>
        <v>1+0,00254424732644532i</v>
      </c>
      <c r="AX174">
        <f t="shared" si="190"/>
        <v>1.0000032365919913</v>
      </c>
      <c r="AY174">
        <f t="shared" si="191"/>
        <v>2.544241836664077E-3</v>
      </c>
      <c r="AZ174" t="str">
        <f t="shared" si="167"/>
        <v>1+0,602259688559984i</v>
      </c>
      <c r="BA174">
        <f t="shared" si="192"/>
        <v>1.1673545872888704</v>
      </c>
      <c r="BB174">
        <f t="shared" si="193"/>
        <v>0.54207937968115538</v>
      </c>
      <c r="BC174" s="41" t="str">
        <f t="shared" si="194"/>
        <v>-1,32208323148961+2,20789555415137i</v>
      </c>
      <c r="BD174">
        <f t="shared" si="195"/>
        <v>8.210355316334093</v>
      </c>
      <c r="BE174" s="43">
        <f t="shared" si="196"/>
        <v>120.9130862974984</v>
      </c>
      <c r="BF174" s="41" t="str">
        <f t="shared" si="197"/>
        <v>11,2949076823627+10,5714724571498i</v>
      </c>
      <c r="BG174" s="20">
        <f t="shared" si="198"/>
        <v>23.789989000245274</v>
      </c>
      <c r="BH174" s="43">
        <f t="shared" si="199"/>
        <v>43.105096887704775</v>
      </c>
      <c r="BI174" s="41" t="str">
        <f t="shared" si="152"/>
        <v>35,4593968130232+33,7586809666955i</v>
      </c>
      <c r="BJ174" s="20">
        <f t="shared" si="200"/>
        <v>33.796711798859896</v>
      </c>
      <c r="BK174" s="43">
        <f t="shared" si="153"/>
        <v>43.592502980811439</v>
      </c>
      <c r="BL174">
        <f t="shared" si="201"/>
        <v>23.789989000245274</v>
      </c>
      <c r="BM174" s="43">
        <f t="shared" si="202"/>
        <v>43.105096887704775</v>
      </c>
    </row>
    <row r="175" spans="14:65" x14ac:dyDescent="0.25">
      <c r="N175" s="9">
        <v>57</v>
      </c>
      <c r="O175" s="34">
        <f t="shared" si="154"/>
        <v>371.53522909717265</v>
      </c>
      <c r="P175" s="33" t="str">
        <f t="shared" si="155"/>
        <v>54,631621870174</v>
      </c>
      <c r="Q175" s="4" t="str">
        <f t="shared" si="156"/>
        <v>1+9,3041417444108i</v>
      </c>
      <c r="R175" s="4">
        <f t="shared" si="168"/>
        <v>9.3577269462240462</v>
      </c>
      <c r="S175" s="4">
        <f t="shared" si="169"/>
        <v>1.4637283222422035</v>
      </c>
      <c r="T175" s="4" t="str">
        <f t="shared" si="157"/>
        <v>1+0,116721234628148i</v>
      </c>
      <c r="U175" s="4">
        <f t="shared" si="170"/>
        <v>1.0067888788684145</v>
      </c>
      <c r="V175" s="4">
        <f t="shared" si="171"/>
        <v>0.11619546174634438</v>
      </c>
      <c r="W175" t="str">
        <f t="shared" si="158"/>
        <v>1-0,00928946685511623i</v>
      </c>
      <c r="X175" s="4">
        <f t="shared" si="172"/>
        <v>1.0000431461664303</v>
      </c>
      <c r="Y175" s="4">
        <f t="shared" si="173"/>
        <v>-9.2891996599308111E-3</v>
      </c>
      <c r="Z175" t="str">
        <f t="shared" si="159"/>
        <v>0,999999447846294+0,00127629761228909i</v>
      </c>
      <c r="AA175" s="4">
        <f t="shared" si="174"/>
        <v>1.0000002623142097</v>
      </c>
      <c r="AB175" s="4">
        <f t="shared" si="175"/>
        <v>1.2762976239992614E-3</v>
      </c>
      <c r="AC175" s="47" t="str">
        <f t="shared" si="176"/>
        <v>1,24083643710477-5,74555447297322i</v>
      </c>
      <c r="AD175" s="20">
        <f t="shared" si="177"/>
        <v>15.384615173398606</v>
      </c>
      <c r="AE175" s="43">
        <f t="shared" si="178"/>
        <v>-77.813304064429943</v>
      </c>
      <c r="AF175" t="str">
        <f t="shared" si="160"/>
        <v>171,265703090588</v>
      </c>
      <c r="AG175" t="str">
        <f t="shared" si="161"/>
        <v>1+9,2151009456858i</v>
      </c>
      <c r="AH175">
        <f t="shared" si="179"/>
        <v>9.2692009061827605</v>
      </c>
      <c r="AI175">
        <f t="shared" si="180"/>
        <v>1.4627017808648053</v>
      </c>
      <c r="AJ175" t="str">
        <f t="shared" si="162"/>
        <v>1+0,116721234628148i</v>
      </c>
      <c r="AK175">
        <f t="shared" si="181"/>
        <v>1.0067888788684145</v>
      </c>
      <c r="AL175">
        <f t="shared" si="182"/>
        <v>0.11619546174634438</v>
      </c>
      <c r="AM175" t="str">
        <f t="shared" si="163"/>
        <v>1-0,00293486348662998i</v>
      </c>
      <c r="AN175">
        <f t="shared" si="183"/>
        <v>1.0000043067025688</v>
      </c>
      <c r="AO175">
        <f t="shared" si="184"/>
        <v>-2.9348550602659716E-3</v>
      </c>
      <c r="AP175" s="41" t="str">
        <f t="shared" si="185"/>
        <v>4,08418692342967-18,1484919247757i</v>
      </c>
      <c r="AQ175">
        <f t="shared" si="186"/>
        <v>25.391367727347909</v>
      </c>
      <c r="AR175" s="43">
        <f t="shared" si="187"/>
        <v>-77.317283981619283</v>
      </c>
      <c r="AS175" t="str">
        <f t="shared" si="164"/>
        <v>-0,0000166666666666667</v>
      </c>
      <c r="AT175" t="str">
        <f t="shared" si="165"/>
        <v>7,73628343115364E-06i</v>
      </c>
      <c r="AU175">
        <f t="shared" si="188"/>
        <v>7.7362834311536404E-6</v>
      </c>
      <c r="AV175">
        <f t="shared" si="189"/>
        <v>1.5707963267948966</v>
      </c>
      <c r="AW175" t="str">
        <f t="shared" si="166"/>
        <v>1+0,00260351045978054i</v>
      </c>
      <c r="AX175">
        <f t="shared" si="190"/>
        <v>1.0000033891276139</v>
      </c>
      <c r="AY175">
        <f t="shared" si="191"/>
        <v>2.6035045773750336E-3</v>
      </c>
      <c r="AZ175" t="str">
        <f t="shared" si="167"/>
        <v>1+0,616288118836621i</v>
      </c>
      <c r="BA175">
        <f t="shared" si="192"/>
        <v>1.174653585283415</v>
      </c>
      <c r="BB175">
        <f t="shared" si="193"/>
        <v>0.55231004908922843</v>
      </c>
      <c r="BC175" s="41" t="str">
        <f t="shared" si="194"/>
        <v>-1,32208282816143+2,15779263255734i</v>
      </c>
      <c r="BD175">
        <f t="shared" si="195"/>
        <v>8.0644942775781079</v>
      </c>
      <c r="BE175" s="43">
        <f t="shared" si="196"/>
        <v>121.49586497124935</v>
      </c>
      <c r="BF175" s="41" t="str">
        <f t="shared" si="197"/>
        <v>10,7572265656853+10,2735666291774i</v>
      </c>
      <c r="BG175" s="20">
        <f t="shared" si="198"/>
        <v>23.449109450976742</v>
      </c>
      <c r="BH175" s="43">
        <f t="shared" si="199"/>
        <v>43.682560906819418</v>
      </c>
      <c r="BI175" s="41" t="str">
        <f t="shared" si="152"/>
        <v>33,7610487688396+32,8066379841359i</v>
      </c>
      <c r="BJ175" s="20">
        <f t="shared" si="200"/>
        <v>33.455862004926018</v>
      </c>
      <c r="BK175" s="43">
        <f t="shared" si="153"/>
        <v>44.178580989630028</v>
      </c>
      <c r="BL175">
        <f t="shared" si="201"/>
        <v>23.449109450976742</v>
      </c>
      <c r="BM175" s="43">
        <f t="shared" si="202"/>
        <v>43.682560906819418</v>
      </c>
    </row>
    <row r="176" spans="14:65" x14ac:dyDescent="0.25">
      <c r="N176" s="9">
        <v>58</v>
      </c>
      <c r="O176" s="34">
        <f t="shared" si="154"/>
        <v>380.18939632056163</v>
      </c>
      <c r="P176" s="33" t="str">
        <f t="shared" si="155"/>
        <v>54,631621870174</v>
      </c>
      <c r="Q176" s="4" t="str">
        <f t="shared" si="156"/>
        <v>1+9,5208630462424i</v>
      </c>
      <c r="R176" s="4">
        <f t="shared" si="168"/>
        <v>9.573235249658504</v>
      </c>
      <c r="S176" s="4">
        <f t="shared" si="169"/>
        <v>1.4661475286526944</v>
      </c>
      <c r="T176" s="4" t="str">
        <f t="shared" si="157"/>
        <v>1+0,119440021445341i</v>
      </c>
      <c r="U176" s="4">
        <f t="shared" si="170"/>
        <v>1.0071076996641737</v>
      </c>
      <c r="V176" s="4">
        <f t="shared" si="171"/>
        <v>0.11887686017136119</v>
      </c>
      <c r="W176" t="str">
        <f t="shared" si="158"/>
        <v>1-0,00950584633486476i</v>
      </c>
      <c r="X176" s="4">
        <f t="shared" si="172"/>
        <v>1.0000451795366758</v>
      </c>
      <c r="Y176" s="4">
        <f t="shared" si="173"/>
        <v>-9.5055600307638929E-3</v>
      </c>
      <c r="Z176" t="str">
        <f t="shared" si="159"/>
        <v>0,999999421824092+0,00130602640272009i</v>
      </c>
      <c r="AA176" s="4">
        <f t="shared" si="174"/>
        <v>1.0000002746767036</v>
      </c>
      <c r="AB176" s="4">
        <f t="shared" si="175"/>
        <v>1.3060264152677601E-3</v>
      </c>
      <c r="AC176" s="47" t="str">
        <f t="shared" si="176"/>
        <v>1,21338030237447-5,61798347946237i</v>
      </c>
      <c r="AD176" s="20">
        <f t="shared" si="177"/>
        <v>15.189615606141601</v>
      </c>
      <c r="AE176" s="43">
        <f t="shared" si="178"/>
        <v>-77.812381438947966</v>
      </c>
      <c r="AF176" t="str">
        <f t="shared" si="160"/>
        <v>171,265703090588</v>
      </c>
      <c r="AG176" t="str">
        <f t="shared" si="161"/>
        <v>1+9,42974822088003i</v>
      </c>
      <c r="AH176">
        <f t="shared" si="179"/>
        <v>9.4826236616872084</v>
      </c>
      <c r="AI176">
        <f t="shared" si="180"/>
        <v>1.4651438333913136</v>
      </c>
      <c r="AJ176" t="str">
        <f t="shared" si="162"/>
        <v>1+0,119440021445341i</v>
      </c>
      <c r="AK176">
        <f t="shared" si="181"/>
        <v>1.0071076996641737</v>
      </c>
      <c r="AL176">
        <f t="shared" si="182"/>
        <v>0.11887686017136119</v>
      </c>
      <c r="AM176" t="str">
        <f t="shared" si="163"/>
        <v>1-0,00300322523916911i</v>
      </c>
      <c r="AN176">
        <f t="shared" si="183"/>
        <v>1.0000045096707499</v>
      </c>
      <c r="AO176">
        <f t="shared" si="184"/>
        <v>-3.0032162101596011E-3</v>
      </c>
      <c r="AP176" s="41" t="str">
        <f t="shared" si="185"/>
        <v>3,99656449413359-17,744967160323i</v>
      </c>
      <c r="AQ176">
        <f t="shared" si="186"/>
        <v>25.196395232391087</v>
      </c>
      <c r="AR176" s="43">
        <f t="shared" si="187"/>
        <v>-77.307487277162537</v>
      </c>
      <c r="AS176" t="str">
        <f t="shared" si="164"/>
        <v>-0,0000166666666666667</v>
      </c>
      <c r="AT176" t="str">
        <f t="shared" si="165"/>
        <v>7,91648462139723E-06i</v>
      </c>
      <c r="AU176">
        <f t="shared" si="188"/>
        <v>7.91648462139723E-6</v>
      </c>
      <c r="AV176">
        <f t="shared" si="189"/>
        <v>1.5707963267948966</v>
      </c>
      <c r="AW176" t="str">
        <f t="shared" si="166"/>
        <v>1+0,00266415400882307i</v>
      </c>
      <c r="AX176">
        <f t="shared" si="190"/>
        <v>1.0000035488519943</v>
      </c>
      <c r="AY176">
        <f t="shared" si="191"/>
        <v>2.664147705713217E-3</v>
      </c>
      <c r="AZ176" t="str">
        <f t="shared" si="167"/>
        <v>1+0,630643313231403i</v>
      </c>
      <c r="BA176">
        <f t="shared" si="192"/>
        <v>1.1822482770228433</v>
      </c>
      <c r="BB176">
        <f t="shared" si="193"/>
        <v>0.56264713948557543</v>
      </c>
      <c r="BC176" s="41" t="str">
        <f t="shared" si="194"/>
        <v>-1,32208240582525+2,10883380107984i</v>
      </c>
      <c r="BD176">
        <f t="shared" si="195"/>
        <v>7.9204705137906721</v>
      </c>
      <c r="BE176" s="43">
        <f t="shared" si="196"/>
        <v>122.0846620280952</v>
      </c>
      <c r="BF176" s="41" t="str">
        <f t="shared" si="197"/>
        <v>10,2432047060542+9,98625450962588i</v>
      </c>
      <c r="BG176" s="20">
        <f t="shared" si="198"/>
        <v>23.110086119932287</v>
      </c>
      <c r="BH176" s="43">
        <f t="shared" si="199"/>
        <v>44.272280589147137</v>
      </c>
      <c r="BI176" s="41" t="str">
        <f t="shared" si="152"/>
        <v>32,137398945301+31,8883991680344i</v>
      </c>
      <c r="BJ176" s="20">
        <f t="shared" si="200"/>
        <v>33.116865746181773</v>
      </c>
      <c r="BK176" s="43">
        <f t="shared" si="153"/>
        <v>44.777174750932673</v>
      </c>
      <c r="BL176">
        <f t="shared" si="201"/>
        <v>23.110086119932287</v>
      </c>
      <c r="BM176" s="43">
        <f t="shared" si="202"/>
        <v>44.272280589147137</v>
      </c>
    </row>
    <row r="177" spans="14:65" x14ac:dyDescent="0.25">
      <c r="N177" s="9">
        <v>59</v>
      </c>
      <c r="O177" s="34">
        <f t="shared" si="154"/>
        <v>389.04514499428063</v>
      </c>
      <c r="P177" s="33" t="str">
        <f t="shared" si="155"/>
        <v>54,631621870174</v>
      </c>
      <c r="Q177" s="4" t="str">
        <f t="shared" si="156"/>
        <v>1+9,74263243568464i</v>
      </c>
      <c r="R177" s="4">
        <f t="shared" si="168"/>
        <v>9.7938188045753858</v>
      </c>
      <c r="S177" s="4">
        <f t="shared" si="169"/>
        <v>1.4685128557637508</v>
      </c>
      <c r="T177" s="4" t="str">
        <f t="shared" si="157"/>
        <v>1+0,122222136942881i</v>
      </c>
      <c r="U177" s="4">
        <f t="shared" si="170"/>
        <v>1.0074414378805769</v>
      </c>
      <c r="V177" s="4">
        <f t="shared" si="171"/>
        <v>0.1216189392371803</v>
      </c>
      <c r="W177" t="str">
        <f t="shared" si="158"/>
        <v>1-0,00972726594016481i</v>
      </c>
      <c r="X177" s="4">
        <f t="shared" si="172"/>
        <v>1.0000473087322772</v>
      </c>
      <c r="Y177" s="4">
        <f t="shared" si="173"/>
        <v>-9.7269591605773711E-3</v>
      </c>
      <c r="Z177" t="str">
        <f t="shared" si="159"/>
        <v>0,999999394575501+0,00133644766563711i</v>
      </c>
      <c r="AA177" s="4">
        <f t="shared" si="174"/>
        <v>1.0000002876218244</v>
      </c>
      <c r="AB177" s="4">
        <f t="shared" si="175"/>
        <v>1.3364476790821761E-3</v>
      </c>
      <c r="AC177" s="47" t="str">
        <f t="shared" si="176"/>
        <v>1,1871334861473-5,49313427365528i</v>
      </c>
      <c r="AD177" s="20">
        <f t="shared" si="177"/>
        <v>14.994645192517545</v>
      </c>
      <c r="AE177" s="43">
        <f t="shared" si="178"/>
        <v>-77.805223387766901</v>
      </c>
      <c r="AF177" t="str">
        <f t="shared" si="160"/>
        <v>171,265703090588</v>
      </c>
      <c r="AG177" t="str">
        <f t="shared" si="161"/>
        <v>1+9,64939527339845i</v>
      </c>
      <c r="AH177">
        <f t="shared" si="179"/>
        <v>9.7010736077139601</v>
      </c>
      <c r="AI177">
        <f t="shared" si="180"/>
        <v>1.4675315208460999</v>
      </c>
      <c r="AJ177" t="str">
        <f t="shared" si="162"/>
        <v>1+0,122222136942881i</v>
      </c>
      <c r="AK177">
        <f t="shared" si="181"/>
        <v>1.0074414378805769</v>
      </c>
      <c r="AL177">
        <f t="shared" si="182"/>
        <v>0.1216189392371803</v>
      </c>
      <c r="AM177" t="str">
        <f t="shared" si="163"/>
        <v>1-0,00307317934148245i</v>
      </c>
      <c r="AN177">
        <f t="shared" si="183"/>
        <v>1.0000047222044828</v>
      </c>
      <c r="AO177">
        <f t="shared" si="184"/>
        <v>-3.0731696667269217E-3</v>
      </c>
      <c r="AP177" s="41" t="str">
        <f t="shared" si="185"/>
        <v>3,91279994006876-17,350023251339i</v>
      </c>
      <c r="AQ177">
        <f t="shared" si="186"/>
        <v>25.001449259382408</v>
      </c>
      <c r="AR177" s="43">
        <f t="shared" si="187"/>
        <v>-77.291190171379156</v>
      </c>
      <c r="AS177" t="str">
        <f t="shared" si="164"/>
        <v>-0,0000166666666666667</v>
      </c>
      <c r="AT177" t="str">
        <f t="shared" si="165"/>
        <v>8,10088323657414E-06i</v>
      </c>
      <c r="AU177">
        <f t="shared" si="188"/>
        <v>8.1008832365741397E-6</v>
      </c>
      <c r="AV177">
        <f t="shared" si="189"/>
        <v>1.5707963267948966</v>
      </c>
      <c r="AW177" t="str">
        <f t="shared" si="166"/>
        <v>1+0,00272621012758532i</v>
      </c>
      <c r="AX177">
        <f t="shared" si="190"/>
        <v>1.000003716103925</v>
      </c>
      <c r="AY177">
        <f t="shared" si="191"/>
        <v>2.7262033736827848E-3</v>
      </c>
      <c r="AZ177" t="str">
        <f t="shared" si="167"/>
        <v>1+0,645332883058411i</v>
      </c>
      <c r="BA177">
        <f t="shared" si="192"/>
        <v>1.1901489528443407</v>
      </c>
      <c r="BB177">
        <f t="shared" si="193"/>
        <v>0.57308729478384157</v>
      </c>
      <c r="BC177" s="41" t="str">
        <f t="shared" si="194"/>
        <v>-1,32208196358526+2,0609931010913i</v>
      </c>
      <c r="BD177">
        <f t="shared" si="195"/>
        <v>7.7783216424816288</v>
      </c>
      <c r="BE177" s="43">
        <f t="shared" si="196"/>
        <v>122.67928333627756</v>
      </c>
      <c r="BF177" s="41" t="str">
        <f t="shared" si="197"/>
        <v>9,75182407096827+9,70904767177571i</v>
      </c>
      <c r="BG177" s="20">
        <f t="shared" si="198"/>
        <v>22.772966834999178</v>
      </c>
      <c r="BH177" s="43">
        <f t="shared" si="199"/>
        <v>44.874059948510649</v>
      </c>
      <c r="BI177" s="41" t="str">
        <f t="shared" si="152"/>
        <v>30,5852359969009+31,0024064908124i</v>
      </c>
      <c r="BJ177" s="20">
        <f t="shared" si="200"/>
        <v>32.77977090186404</v>
      </c>
      <c r="BK177" s="43">
        <f t="shared" si="153"/>
        <v>45.388093164898514</v>
      </c>
      <c r="BL177">
        <f t="shared" si="201"/>
        <v>22.772966834999178</v>
      </c>
      <c r="BM177" s="43">
        <f t="shared" si="202"/>
        <v>44.874059948510649</v>
      </c>
    </row>
    <row r="178" spans="14:65" x14ac:dyDescent="0.25">
      <c r="N178" s="9">
        <v>60</v>
      </c>
      <c r="O178" s="34">
        <f t="shared" si="154"/>
        <v>398.10717055349761</v>
      </c>
      <c r="P178" s="33" t="str">
        <f t="shared" si="155"/>
        <v>54,631621870174</v>
      </c>
      <c r="Q178" s="4" t="str">
        <f t="shared" si="156"/>
        <v>1+9,96956749780325i</v>
      </c>
      <c r="R178" s="4">
        <f t="shared" si="168"/>
        <v>10.019594607231122</v>
      </c>
      <c r="S178" s="4">
        <f t="shared" si="169"/>
        <v>1.4708254517775254</v>
      </c>
      <c r="T178" s="4" t="str">
        <f t="shared" si="157"/>
        <v>1+0,125069056235229i</v>
      </c>
      <c r="U178" s="4">
        <f t="shared" si="170"/>
        <v>1.007790786238677</v>
      </c>
      <c r="V178" s="4">
        <f t="shared" si="171"/>
        <v>0.1244229878003765</v>
      </c>
      <c r="W178" t="str">
        <f t="shared" si="158"/>
        <v>1-0,00995384307062189i</v>
      </c>
      <c r="X178" s="4">
        <f t="shared" si="172"/>
        <v>1.0000495382689172</v>
      </c>
      <c r="Y178" s="4">
        <f t="shared" si="173"/>
        <v>-9.9535143512509416E-3</v>
      </c>
      <c r="Z178" t="str">
        <f t="shared" si="159"/>
        <v>0,999999366042723+0,00136757753079642i</v>
      </c>
      <c r="AA178" s="4">
        <f t="shared" si="174"/>
        <v>1.00000030117703</v>
      </c>
      <c r="AB178" s="4">
        <f t="shared" si="175"/>
        <v>1.3675775452030635E-3</v>
      </c>
      <c r="AC178" s="47" t="str">
        <f t="shared" si="176"/>
        <v>1,16204384335759-5,37095745471402i</v>
      </c>
      <c r="AD178" s="20">
        <f t="shared" si="177"/>
        <v>14.799714195841622</v>
      </c>
      <c r="AE178" s="43">
        <f t="shared" si="178"/>
        <v>-77.791829497052106</v>
      </c>
      <c r="AF178" t="str">
        <f t="shared" si="160"/>
        <v>171,265703090588</v>
      </c>
      <c r="AG178" t="str">
        <f t="shared" si="161"/>
        <v>1+9,87415856301564i</v>
      </c>
      <c r="AH178">
        <f t="shared" si="179"/>
        <v>9.9246666103993189</v>
      </c>
      <c r="AI178">
        <f t="shared" si="180"/>
        <v>1.4698660002545711</v>
      </c>
      <c r="AJ178" t="str">
        <f t="shared" si="162"/>
        <v>1+0,125069056235229i</v>
      </c>
      <c r="AK178">
        <f t="shared" si="181"/>
        <v>1.007790786238677</v>
      </c>
      <c r="AL178">
        <f t="shared" si="182"/>
        <v>0.1244229878003765</v>
      </c>
      <c r="AM178" t="str">
        <f t="shared" si="163"/>
        <v>1-0,00314476288416096i</v>
      </c>
      <c r="AN178">
        <f t="shared" si="183"/>
        <v>1.0000049447545736</v>
      </c>
      <c r="AO178">
        <f t="shared" si="184"/>
        <v>-3.1447525174764066E-3</v>
      </c>
      <c r="AP178" s="41" t="str">
        <f t="shared" si="185"/>
        <v>3,83272705860961-16,963504880878i</v>
      </c>
      <c r="AQ178">
        <f t="shared" si="186"/>
        <v>24.806540117929604</v>
      </c>
      <c r="AR178" s="43">
        <f t="shared" si="187"/>
        <v>-77.268387235857332</v>
      </c>
      <c r="AS178" t="str">
        <f t="shared" si="164"/>
        <v>-0,0000166666666666667</v>
      </c>
      <c r="AT178" t="str">
        <f t="shared" si="165"/>
        <v>8,28957704727096E-06i</v>
      </c>
      <c r="AU178">
        <f t="shared" si="188"/>
        <v>8.2895770472709604E-6</v>
      </c>
      <c r="AV178">
        <f t="shared" si="189"/>
        <v>1.5707963267948966</v>
      </c>
      <c r="AW178" t="str">
        <f t="shared" si="166"/>
        <v>1+0,00278971171904287i</v>
      </c>
      <c r="AX178">
        <f t="shared" si="190"/>
        <v>1.0000038912381668</v>
      </c>
      <c r="AY178">
        <f t="shared" si="191"/>
        <v>2.7897044821074387E-3</v>
      </c>
      <c r="AZ178" t="str">
        <f t="shared" si="167"/>
        <v>1+0,660364616922006i</v>
      </c>
      <c r="BA178">
        <f t="shared" si="192"/>
        <v>1.1983661490890618</v>
      </c>
      <c r="BB178">
        <f t="shared" si="193"/>
        <v>0.5836269466736439</v>
      </c>
      <c r="BC178" s="41" t="str">
        <f t="shared" si="194"/>
        <v>-1,32208150050345+2,01424516681177i</v>
      </c>
      <c r="BD178">
        <f t="shared" si="195"/>
        <v>7.6380844001468535</v>
      </c>
      <c r="BE178" s="43">
        <f t="shared" si="196"/>
        <v>123.27952256159304</v>
      </c>
      <c r="BF178" s="41" t="str">
        <f t="shared" si="197"/>
        <v>9,28210842623236+9,4414846859749i</v>
      </c>
      <c r="BG178" s="20">
        <f t="shared" si="198"/>
        <v>22.437798595988475</v>
      </c>
      <c r="BH178" s="43">
        <f t="shared" si="199"/>
        <v>45.487693064540935</v>
      </c>
      <c r="BI178" s="41" t="str">
        <f t="shared" ref="BI178:BI241" si="203">IMPRODUCT(AP178,BC178)</f>
        <v>29,1014801778296+30,1471879402219i</v>
      </c>
      <c r="BJ178" s="20">
        <f t="shared" si="200"/>
        <v>32.444624518076459</v>
      </c>
      <c r="BK178" s="43">
        <f t="shared" ref="BK178:BK241" si="204">(180/PI())*IMARGUMENT(BI178)</f>
        <v>46.011135325735744</v>
      </c>
      <c r="BL178">
        <f t="shared" si="201"/>
        <v>22.437798595988475</v>
      </c>
      <c r="BM178" s="43">
        <f t="shared" si="202"/>
        <v>45.487693064540935</v>
      </c>
    </row>
    <row r="179" spans="14:65" x14ac:dyDescent="0.25">
      <c r="N179" s="9">
        <v>61</v>
      </c>
      <c r="O179" s="34">
        <f t="shared" si="154"/>
        <v>407.38027780411272</v>
      </c>
      <c r="P179" s="33" t="str">
        <f t="shared" si="155"/>
        <v>54,631621870174</v>
      </c>
      <c r="Q179" s="4" t="str">
        <f t="shared" si="156"/>
        <v>1+10,201788556572i</v>
      </c>
      <c r="R179" s="4">
        <f t="shared" si="168"/>
        <v>10.250682404259896</v>
      </c>
      <c r="S179" s="4">
        <f t="shared" si="169"/>
        <v>1.4730864438648761</v>
      </c>
      <c r="T179" s="4" t="str">
        <f t="shared" si="157"/>
        <v>1+0,127982288796677i</v>
      </c>
      <c r="U179" s="4">
        <f t="shared" si="170"/>
        <v>1.0081564691284959</v>
      </c>
      <c r="V179" s="4">
        <f t="shared" si="171"/>
        <v>0.12729031613134431</v>
      </c>
      <c r="W179" t="str">
        <f t="shared" si="158"/>
        <v>1-0,0101856978604297i</v>
      </c>
      <c r="X179" s="4">
        <f t="shared" si="172"/>
        <v>1.0000518728750543</v>
      </c>
      <c r="Y179" s="4">
        <f t="shared" si="173"/>
        <v>-1.0185345632264468E-2</v>
      </c>
      <c r="Z179" t="str">
        <f t="shared" si="159"/>
        <v>0,999999336165237+0,0013994325036646i</v>
      </c>
      <c r="AA179" s="4">
        <f t="shared" si="174"/>
        <v>1.0000003153710737</v>
      </c>
      <c r="AB179" s="4">
        <f t="shared" si="175"/>
        <v>1.3994325191015906E-3</v>
      </c>
      <c r="AC179" s="47" t="str">
        <f t="shared" si="176"/>
        <v>1,13806137923182-5,25140395555961i</v>
      </c>
      <c r="AD179" s="20">
        <f t="shared" si="177"/>
        <v>14.604832950846014</v>
      </c>
      <c r="AE179" s="43">
        <f t="shared" si="178"/>
        <v>-77.77219709884902</v>
      </c>
      <c r="AF179" t="str">
        <f t="shared" si="160"/>
        <v>171,265703090588</v>
      </c>
      <c r="AG179" t="str">
        <f t="shared" si="161"/>
        <v>1+10,1041572622029i</v>
      </c>
      <c r="AH179">
        <f t="shared" si="179"/>
        <v>10.153521260101225</v>
      </c>
      <c r="AI179">
        <f t="shared" si="180"/>
        <v>1.4721484075534563</v>
      </c>
      <c r="AJ179" t="str">
        <f t="shared" si="162"/>
        <v>1+0,127982288796677i</v>
      </c>
      <c r="AK179">
        <f t="shared" si="181"/>
        <v>1.0081564691284959</v>
      </c>
      <c r="AL179">
        <f t="shared" si="182"/>
        <v>0.12729031613134431</v>
      </c>
      <c r="AM179" t="str">
        <f t="shared" si="163"/>
        <v>1-0,00321801382174653i</v>
      </c>
      <c r="AN179">
        <f t="shared" si="183"/>
        <v>1.0000051777930736</v>
      </c>
      <c r="AO179">
        <f t="shared" si="184"/>
        <v>-3.2180027136470058E-3</v>
      </c>
      <c r="AP179" s="41" t="str">
        <f t="shared" si="185"/>
        <v>3,7561864886729-16,5852577135438i</v>
      </c>
      <c r="AQ179">
        <f t="shared" si="186"/>
        <v>24.611678184053826</v>
      </c>
      <c r="AR179" s="43">
        <f t="shared" si="187"/>
        <v>-77.239070656459674</v>
      </c>
      <c r="AS179" t="str">
        <f t="shared" si="164"/>
        <v>-0,0000166666666666667</v>
      </c>
      <c r="AT179" t="str">
        <f t="shared" si="165"/>
        <v>8,48266610144375E-06i</v>
      </c>
      <c r="AU179">
        <f t="shared" si="188"/>
        <v>8.4826661014437503E-6</v>
      </c>
      <c r="AV179">
        <f t="shared" si="189"/>
        <v>1.5707963267948966</v>
      </c>
      <c r="AW179" t="str">
        <f t="shared" si="166"/>
        <v>1+0,00285469245258007i</v>
      </c>
      <c r="AX179">
        <f t="shared" si="190"/>
        <v>1.000004074626198</v>
      </c>
      <c r="AY179">
        <f t="shared" si="191"/>
        <v>2.8546846980657512E-3</v>
      </c>
      <c r="AZ179" t="str">
        <f t="shared" si="167"/>
        <v>1+0,675746484846454i</v>
      </c>
      <c r="BA179">
        <f t="shared" si="192"/>
        <v>1.2069106478038625</v>
      </c>
      <c r="BB179">
        <f t="shared" si="193"/>
        <v>0.59426231692512466</v>
      </c>
      <c r="BC179" s="41" t="str">
        <f t="shared" si="194"/>
        <v>-1,32208101559763+1,96856521185957i</v>
      </c>
      <c r="BD179">
        <f t="shared" si="195"/>
        <v>7.4997945280451344</v>
      </c>
      <c r="BE179" s="43">
        <f t="shared" si="196"/>
        <v>123.88516129843568</v>
      </c>
      <c r="BF179" s="41" t="str">
        <f t="shared" si="197"/>
        <v>8,83312179626914+9,18312951499634i</v>
      </c>
      <c r="BG179" s="20">
        <f t="shared" si="198"/>
        <v>22.104627478891143</v>
      </c>
      <c r="BH179" s="43">
        <f t="shared" si="199"/>
        <v>46.112964199586678</v>
      </c>
      <c r="BI179" s="41" t="str">
        <f t="shared" si="203"/>
        <v>27,6831785168892+29,3213524127288i</v>
      </c>
      <c r="BJ179" s="20">
        <f t="shared" si="200"/>
        <v>32.111472712098966</v>
      </c>
      <c r="BK179" s="43">
        <f t="shared" si="204"/>
        <v>46.646090641975938</v>
      </c>
      <c r="BL179">
        <f t="shared" si="201"/>
        <v>22.104627478891143</v>
      </c>
      <c r="BM179" s="43">
        <f t="shared" si="202"/>
        <v>46.112964199586678</v>
      </c>
    </row>
    <row r="180" spans="14:65" x14ac:dyDescent="0.25">
      <c r="N180" s="9">
        <v>62</v>
      </c>
      <c r="O180" s="34">
        <f t="shared" si="154"/>
        <v>416.86938347033572</v>
      </c>
      <c r="P180" s="33" t="str">
        <f t="shared" si="155"/>
        <v>54,631621870174</v>
      </c>
      <c r="Q180" s="4" t="str">
        <f t="shared" si="156"/>
        <v>1+10,4394187386702i</v>
      </c>
      <c r="R180" s="4">
        <f t="shared" si="168"/>
        <v>10.487204756335148</v>
      </c>
      <c r="S180" s="4">
        <f t="shared" si="169"/>
        <v>1.4752969383159058</v>
      </c>
      <c r="T180" s="4" t="str">
        <f t="shared" si="157"/>
        <v>1+0,130963379261691i</v>
      </c>
      <c r="U180" s="4">
        <f t="shared" si="170"/>
        <v>1.0085392440096923</v>
      </c>
      <c r="V180" s="4">
        <f t="shared" si="171"/>
        <v>0.13022225583336722</v>
      </c>
      <c r="W180" t="str">
        <f t="shared" si="158"/>
        <v>1-0,0104229532420668i</v>
      </c>
      <c r="X180" s="4">
        <f t="shared" si="172"/>
        <v>1.0000543175019476</v>
      </c>
      <c r="Y180" s="4">
        <f t="shared" si="173"/>
        <v>-1.0422575823895044E-2</v>
      </c>
      <c r="Z180" t="str">
        <f t="shared" si="159"/>
        <v>0,999999304879668+0,0014320294741699i</v>
      </c>
      <c r="AA180" s="4">
        <f t="shared" si="174"/>
        <v>1.0000003302340625</v>
      </c>
      <c r="AB180" s="4">
        <f t="shared" si="175"/>
        <v>1.4320294907109274E-3</v>
      </c>
      <c r="AC180" s="47" t="str">
        <f t="shared" si="176"/>
        <v>1,11513816922516-5,13442508512359i</v>
      </c>
      <c r="AD180" s="20">
        <f t="shared" si="177"/>
        <v>14.410011882217155</v>
      </c>
      <c r="AE180" s="43">
        <f t="shared" si="178"/>
        <v>-77.74632128846909</v>
      </c>
      <c r="AF180" t="str">
        <f t="shared" si="160"/>
        <v>171,265703090588</v>
      </c>
      <c r="AG180" t="str">
        <f t="shared" si="161"/>
        <v>1+10,339513319315i</v>
      </c>
      <c r="AH180">
        <f t="shared" si="179"/>
        <v>10.387758934452236</v>
      </c>
      <c r="AI180">
        <f t="shared" si="180"/>
        <v>1.4743798577336795</v>
      </c>
      <c r="AJ180" t="str">
        <f t="shared" si="162"/>
        <v>1+0,130963379261691i</v>
      </c>
      <c r="AK180">
        <f t="shared" si="181"/>
        <v>1.0085392440096923</v>
      </c>
      <c r="AL180">
        <f t="shared" si="182"/>
        <v>0.13022225583336722</v>
      </c>
      <c r="AM180" t="str">
        <f t="shared" si="163"/>
        <v>1-0,00329297099285584i</v>
      </c>
      <c r="AN180">
        <f t="shared" si="183"/>
        <v>1.0000054218142818</v>
      </c>
      <c r="AO180">
        <f t="shared" si="184"/>
        <v>-3.2929590903162408E-3</v>
      </c>
      <c r="AP180" s="41" t="str">
        <f t="shared" si="185"/>
        <v>3,68302545710589-16,2151285330981i</v>
      </c>
      <c r="AQ180">
        <f t="shared" si="186"/>
        <v>24.416873918773732</v>
      </c>
      <c r="AR180" s="43">
        <f t="shared" si="187"/>
        <v>-77.203230247298151</v>
      </c>
      <c r="AS180" t="str">
        <f t="shared" si="164"/>
        <v>-0,0000166666666666667</v>
      </c>
      <c r="AT180" t="str">
        <f t="shared" si="165"/>
        <v>0,0000086802527774649i</v>
      </c>
      <c r="AU180">
        <f t="shared" si="188"/>
        <v>8.6802527774649006E-6</v>
      </c>
      <c r="AV180">
        <f t="shared" si="189"/>
        <v>1.5707963267948966</v>
      </c>
      <c r="AW180" t="str">
        <f t="shared" si="166"/>
        <v>1+0,00292118678184195i</v>
      </c>
      <c r="AX180">
        <f t="shared" si="190"/>
        <v>1.000004266657005</v>
      </c>
      <c r="AY180">
        <f t="shared" si="191"/>
        <v>2.9211784727320692E-3</v>
      </c>
      <c r="AZ180" t="str">
        <f t="shared" si="167"/>
        <v>1+0,691486642501731i</v>
      </c>
      <c r="BA180">
        <f t="shared" si="192"/>
        <v>1.2157934761949978</v>
      </c>
      <c r="BB180">
        <f t="shared" si="193"/>
        <v>0.60498942064034167</v>
      </c>
      <c r="BC180" s="41" t="str">
        <f t="shared" si="194"/>
        <v>-1,32208050783928+1,92392901610922i</v>
      </c>
      <c r="BD180">
        <f t="shared" si="195"/>
        <v>7.3634866574954874</v>
      </c>
      <c r="BE180" s="43">
        <f t="shared" si="196"/>
        <v>124.49596925506457</v>
      </c>
      <c r="BF180" s="41" t="str">
        <f t="shared" si="197"/>
        <v>8,40396696522816+8,93357000474613i</v>
      </c>
      <c r="BG180" s="20">
        <f t="shared" si="198"/>
        <v>21.773498539712641</v>
      </c>
      <c r="BH180" s="43">
        <f t="shared" si="199"/>
        <v>46.749647966595475</v>
      </c>
      <c r="BI180" s="41" t="str">
        <f t="shared" si="203"/>
        <v>26,3275001180524+28,5235849097125i</v>
      </c>
      <c r="BJ180" s="20">
        <f t="shared" si="200"/>
        <v>31.780360576269221</v>
      </c>
      <c r="BK180" s="43">
        <f t="shared" si="204"/>
        <v>47.292739007766464</v>
      </c>
      <c r="BL180">
        <f t="shared" si="201"/>
        <v>21.773498539712641</v>
      </c>
      <c r="BM180" s="43">
        <f t="shared" si="202"/>
        <v>46.749647966595475</v>
      </c>
    </row>
    <row r="181" spans="14:65" x14ac:dyDescent="0.25">
      <c r="N181" s="9">
        <v>63</v>
      </c>
      <c r="O181" s="34">
        <f t="shared" si="154"/>
        <v>426.57951880159294</v>
      </c>
      <c r="P181" s="33" t="str">
        <f t="shared" si="155"/>
        <v>54,631621870174</v>
      </c>
      <c r="Q181" s="4" t="str">
        <f t="shared" si="156"/>
        <v>1+10,6825840387656i</v>
      </c>
      <c r="R181" s="4">
        <f t="shared" si="168"/>
        <v>10.729287103311643</v>
      </c>
      <c r="S181" s="4">
        <f t="shared" si="169"/>
        <v>1.4774580207076411</v>
      </c>
      <c r="T181" s="4" t="str">
        <f t="shared" si="157"/>
        <v>1+0,134013908243896i</v>
      </c>
      <c r="U181" s="4">
        <f t="shared" si="170"/>
        <v>1.0089399028697414</v>
      </c>
      <c r="V181" s="4">
        <f t="shared" si="171"/>
        <v>0.13322015972255005</v>
      </c>
      <c r="W181" t="str">
        <f t="shared" si="158"/>
        <v>1-0,010665735011477i</v>
      </c>
      <c r="X181" s="4">
        <f t="shared" si="172"/>
        <v>1.0000568773341518</v>
      </c>
      <c r="Y181" s="4">
        <f t="shared" si="173"/>
        <v>-1.0665330601862038E-2</v>
      </c>
      <c r="Z181" t="str">
        <f t="shared" si="159"/>
        <v>0,999999272119657+0,00146538572565755i</v>
      </c>
      <c r="AA181" s="4">
        <f t="shared" si="174"/>
        <v>1.0000003457975246</v>
      </c>
      <c r="AB181" s="4">
        <f t="shared" si="175"/>
        <v>1.4653857433815714E-3</v>
      </c>
      <c r="AC181" s="47" t="str">
        <f t="shared" si="176"/>
        <v>1,09322828116276-5,01997256666763i</v>
      </c>
      <c r="AD181" s="20">
        <f t="shared" si="177"/>
        <v>14.215261523204404</v>
      </c>
      <c r="AE181" s="43">
        <f t="shared" si="178"/>
        <v>-77.714194945192048</v>
      </c>
      <c r="AF181" t="str">
        <f t="shared" si="160"/>
        <v>171,265703090588</v>
      </c>
      <c r="AG181" t="str">
        <f t="shared" si="161"/>
        <v>1+10,5803515232485i</v>
      </c>
      <c r="AH181">
        <f t="shared" si="179"/>
        <v>10.627503862878942</v>
      </c>
      <c r="AI181">
        <f t="shared" si="180"/>
        <v>1.4765614450010811</v>
      </c>
      <c r="AJ181" t="str">
        <f t="shared" si="162"/>
        <v>1+0,134013908243896i</v>
      </c>
      <c r="AK181">
        <f t="shared" si="181"/>
        <v>1.0089399028697414</v>
      </c>
      <c r="AL181">
        <f t="shared" si="182"/>
        <v>0.13322015972255005</v>
      </c>
      <c r="AM181" t="str">
        <f t="shared" si="163"/>
        <v>1-0,00336967414077318i</v>
      </c>
      <c r="AN181">
        <f t="shared" si="183"/>
        <v>1.0000056773357915</v>
      </c>
      <c r="AO181">
        <f t="shared" si="184"/>
        <v>-3.3696613869761286E-3</v>
      </c>
      <c r="AP181" s="41" t="str">
        <f t="shared" si="185"/>
        <v>3,61309753195-15,8529653674099i</v>
      </c>
      <c r="AQ181">
        <f t="shared" si="186"/>
        <v>24.222137886753707</v>
      </c>
      <c r="AR181" s="43">
        <f t="shared" si="187"/>
        <v>-77.160853468001292</v>
      </c>
      <c r="AS181" t="str">
        <f t="shared" si="164"/>
        <v>-0,0000166666666666667</v>
      </c>
      <c r="AT181" t="str">
        <f t="shared" si="165"/>
        <v>8,88244183840539E-06i</v>
      </c>
      <c r="AU181">
        <f t="shared" si="188"/>
        <v>8.8824418384053902E-6</v>
      </c>
      <c r="AV181">
        <f t="shared" si="189"/>
        <v>1.5707963267948966</v>
      </c>
      <c r="AW181" t="str">
        <f t="shared" si="166"/>
        <v>1+0,00298922996300204i</v>
      </c>
      <c r="AX181">
        <f t="shared" si="190"/>
        <v>1.0000044677379056</v>
      </c>
      <c r="AY181">
        <f t="shared" si="191"/>
        <v>2.9892210596325418E-3</v>
      </c>
      <c r="AZ181" t="str">
        <f t="shared" si="167"/>
        <v>1+0,707593435527768i</v>
      </c>
      <c r="BA181">
        <f t="shared" si="192"/>
        <v>1.2250259058493373</v>
      </c>
      <c r="BB181">
        <f t="shared" si="193"/>
        <v>0.61580407047430552</v>
      </c>
      <c r="BC181" s="41" t="str">
        <f t="shared" si="194"/>
        <v>-1,32207997615142+1,88031291284959i</v>
      </c>
      <c r="BD181">
        <f t="shared" si="195"/>
        <v>7.2291941953741947</v>
      </c>
      <c r="BE181" s="43">
        <f t="shared" si="196"/>
        <v>125.11170449440573</v>
      </c>
      <c r="BF181" s="41" t="str">
        <f t="shared" si="197"/>
        <v>7,99378401936812+8,69241646498342i</v>
      </c>
      <c r="BG181" s="20">
        <f t="shared" si="198"/>
        <v>21.444455718578599</v>
      </c>
      <c r="BH181" s="43">
        <f t="shared" si="199"/>
        <v>47.397509549213702</v>
      </c>
      <c r="BI181" s="41" t="str">
        <f t="shared" si="203"/>
        <v>25,031731588425+27,7526420195851i</v>
      </c>
      <c r="BJ181" s="20">
        <f t="shared" si="200"/>
        <v>31.451332082127902</v>
      </c>
      <c r="BK181" s="43">
        <f t="shared" si="204"/>
        <v>47.950851026404365</v>
      </c>
      <c r="BL181">
        <f t="shared" si="201"/>
        <v>21.444455718578599</v>
      </c>
      <c r="BM181" s="43">
        <f t="shared" si="202"/>
        <v>47.397509549213702</v>
      </c>
    </row>
    <row r="182" spans="14:65" x14ac:dyDescent="0.25">
      <c r="N182" s="9">
        <v>64</v>
      </c>
      <c r="O182" s="34">
        <f t="shared" si="154"/>
        <v>436.51583224016622</v>
      </c>
      <c r="P182" s="33" t="str">
        <f t="shared" si="155"/>
        <v>54,631621870174</v>
      </c>
      <c r="Q182" s="4" t="str">
        <f t="shared" si="156"/>
        <v>1+10,931413386319i</v>
      </c>
      <c r="R182" s="4">
        <f t="shared" si="168"/>
        <v>10.977057830885027</v>
      </c>
      <c r="S182" s="4">
        <f t="shared" si="169"/>
        <v>1.4795707560872431</v>
      </c>
      <c r="T182" s="4" t="str">
        <f t="shared" si="157"/>
        <v>1+0,137135493174134i</v>
      </c>
      <c r="U182" s="4">
        <f t="shared" si="170"/>
        <v>1.0093592737415717</v>
      </c>
      <c r="V182" s="4">
        <f t="shared" si="171"/>
        <v>0.13628540166551975</v>
      </c>
      <c r="W182" t="str">
        <f t="shared" si="158"/>
        <v>1-0,0109141718947678i</v>
      </c>
      <c r="X182" s="4">
        <f t="shared" si="172"/>
        <v>1.0000595578005085</v>
      </c>
      <c r="Y182" s="4">
        <f t="shared" si="173"/>
        <v>-1.0913738563451928E-2</v>
      </c>
      <c r="Z182" t="str">
        <f t="shared" si="159"/>
        <v>0,999999237815713+0,00149951894405361i</v>
      </c>
      <c r="AA182" s="4">
        <f t="shared" si="174"/>
        <v>1.0000003620944697</v>
      </c>
      <c r="AB182" s="4">
        <f t="shared" si="175"/>
        <v>1.4995189630452337E-3</v>
      </c>
      <c r="AC182" s="47" t="str">
        <f t="shared" si="176"/>
        <v>1,07228769959986-4,90799857242233i</v>
      </c>
      <c r="AD182" s="20">
        <f t="shared" si="177"/>
        <v>14.020592534311758</v>
      </c>
      <c r="AE182" s="43">
        <f t="shared" si="178"/>
        <v>-77.675808756377023</v>
      </c>
      <c r="AF182" t="str">
        <f t="shared" si="160"/>
        <v>171,265703090588</v>
      </c>
      <c r="AG182" t="str">
        <f t="shared" si="161"/>
        <v>1+10,8267995696072i</v>
      </c>
      <c r="AH182">
        <f t="shared" si="179"/>
        <v>10.872883192624055</v>
      </c>
      <c r="AI182">
        <f t="shared" si="180"/>
        <v>1.4786942429533398</v>
      </c>
      <c r="AJ182" t="str">
        <f t="shared" si="162"/>
        <v>1+0,137135493174134i</v>
      </c>
      <c r="AK182">
        <f t="shared" si="181"/>
        <v>1.0093592737415717</v>
      </c>
      <c r="AL182">
        <f t="shared" si="182"/>
        <v>0.13628540166551975</v>
      </c>
      <c r="AM182" t="str">
        <f t="shared" si="163"/>
        <v>1-0,00344816393452286i</v>
      </c>
      <c r="AN182">
        <f t="shared" si="183"/>
        <v>1.0000059448995888</v>
      </c>
      <c r="AO182">
        <f t="shared" si="184"/>
        <v>-3.4481502685874922E-3</v>
      </c>
      <c r="AP182" s="41" t="str">
        <f t="shared" si="185"/>
        <v>3,54626238263944-15,49861760155i</v>
      </c>
      <c r="AQ182">
        <f t="shared" si="186"/>
        <v>24.027480775028035</v>
      </c>
      <c r="AR182" s="43">
        <f t="shared" si="187"/>
        <v>-77.111925444356245</v>
      </c>
      <c r="AS182" t="str">
        <f t="shared" si="164"/>
        <v>-0,0000166666666666667</v>
      </c>
      <c r="AT182" t="str">
        <f t="shared" si="165"/>
        <v>9,08934048758161E-06i</v>
      </c>
      <c r="AU182">
        <f t="shared" si="188"/>
        <v>9.0893404875816096E-6</v>
      </c>
      <c r="AV182">
        <f t="shared" si="189"/>
        <v>1.5707963267948966</v>
      </c>
      <c r="AW182" t="str">
        <f t="shared" si="166"/>
        <v>1+0,00305885807345564i</v>
      </c>
      <c r="AX182">
        <f t="shared" si="190"/>
        <v>1.0000046782954135</v>
      </c>
      <c r="AY182">
        <f t="shared" si="191"/>
        <v>3.0588485333257515E-3</v>
      </c>
      <c r="AZ182" t="str">
        <f t="shared" si="167"/>
        <v>1+0,724075403959427i</v>
      </c>
      <c r="BA182">
        <f t="shared" si="192"/>
        <v>1.2346194517417128</v>
      </c>
      <c r="BB182">
        <f t="shared" si="193"/>
        <v>0.62670188184125875</v>
      </c>
      <c r="BC182" s="41" t="str">
        <f t="shared" si="194"/>
        <v>-1,32207941940636+1,83769377623539i</v>
      </c>
      <c r="BD182">
        <f t="shared" si="195"/>
        <v>7.0969492105237721</v>
      </c>
      <c r="BE182" s="43">
        <f t="shared" si="196"/>
        <v>125.73211373128125</v>
      </c>
      <c r="BF182" s="41" t="str">
        <f t="shared" si="197"/>
        <v>7,60174893098913+8,45930033496378i</v>
      </c>
      <c r="BG182" s="20">
        <f t="shared" si="198"/>
        <v>21.117541744835528</v>
      </c>
      <c r="BH182" s="43">
        <f t="shared" si="199"/>
        <v>48.056304974904208</v>
      </c>
      <c r="BI182" s="41" t="str">
        <f t="shared" si="203"/>
        <v>23,7932725947181+27,0073476697326i</v>
      </c>
      <c r="BJ182" s="20">
        <f t="shared" si="200"/>
        <v>31.124429985551799</v>
      </c>
      <c r="BK182" s="43">
        <f t="shared" si="204"/>
        <v>48.62018828692505</v>
      </c>
      <c r="BL182">
        <f t="shared" si="201"/>
        <v>21.117541744835528</v>
      </c>
      <c r="BM182" s="43">
        <f t="shared" si="202"/>
        <v>48.056304974904208</v>
      </c>
    </row>
    <row r="183" spans="14:65" x14ac:dyDescent="0.25">
      <c r="N183" s="9">
        <v>65</v>
      </c>
      <c r="O183" s="34">
        <f t="shared" si="154"/>
        <v>446.68359215096331</v>
      </c>
      <c r="P183" s="33" t="str">
        <f t="shared" si="155"/>
        <v>54,631621870174</v>
      </c>
      <c r="Q183" s="4" t="str">
        <f t="shared" si="156"/>
        <v>1+11,1860387139443i</v>
      </c>
      <c r="R183" s="4">
        <f t="shared" si="168"/>
        <v>11.230648338803089</v>
      </c>
      <c r="S183" s="4">
        <f t="shared" si="169"/>
        <v>1.4816361891692156</v>
      </c>
      <c r="T183" s="4" t="str">
        <f t="shared" si="157"/>
        <v>1+0,140329789158056i</v>
      </c>
      <c r="U183" s="4">
        <f t="shared" si="170"/>
        <v>1.0097982222826225</v>
      </c>
      <c r="V183" s="4">
        <f t="shared" si="171"/>
        <v>0.13941937637164709</v>
      </c>
      <c r="W183" t="str">
        <f t="shared" si="158"/>
        <v>1-0,0111683956164635i</v>
      </c>
      <c r="X183" s="4">
        <f t="shared" si="172"/>
        <v>1.0000623645856521</v>
      </c>
      <c r="Y183" s="4">
        <f t="shared" si="173"/>
        <v>-1.116793129515682E-2</v>
      </c>
      <c r="Z183" t="str">
        <f t="shared" si="159"/>
        <v>0,999999201895074+0,0015344472272423i</v>
      </c>
      <c r="AA183" s="4">
        <f t="shared" si="174"/>
        <v>1.0000003791594672</v>
      </c>
      <c r="AB183" s="4">
        <f t="shared" si="175"/>
        <v>1.5344472475921824E-3</v>
      </c>
      <c r="AC183" s="47" t="str">
        <f t="shared" si="176"/>
        <v>1,05227425240675-4,79845575478522i</v>
      </c>
      <c r="AD183" s="20">
        <f t="shared" si="177"/>
        <v>13.826015722086694</v>
      </c>
      <c r="AE183" s="43">
        <f t="shared" si="178"/>
        <v>-77.631151245078613</v>
      </c>
      <c r="AF183" t="str">
        <f t="shared" si="160"/>
        <v>171,265703090588</v>
      </c>
      <c r="AG183" t="str">
        <f t="shared" si="161"/>
        <v>1+11,0789881284073i</v>
      </c>
      <c r="AH183">
        <f t="shared" si="179"/>
        <v>11.124027056304291</v>
      </c>
      <c r="AI183">
        <f t="shared" si="180"/>
        <v>1.4807793047715045</v>
      </c>
      <c r="AJ183" t="str">
        <f t="shared" si="162"/>
        <v>1+0,140329789158056i</v>
      </c>
      <c r="AK183">
        <f t="shared" si="181"/>
        <v>1.0097982222826225</v>
      </c>
      <c r="AL183">
        <f t="shared" si="182"/>
        <v>0.13941937637164709</v>
      </c>
      <c r="AM183" t="str">
        <f t="shared" si="163"/>
        <v>1-0,00352848199043247i</v>
      </c>
      <c r="AN183">
        <f t="shared" si="183"/>
        <v>1.0000062250732027</v>
      </c>
      <c r="AO183">
        <f t="shared" si="184"/>
        <v>-3.5284673471238223E-3</v>
      </c>
      <c r="AP183" s="41" t="str">
        <f t="shared" si="185"/>
        <v>3,48238554716461-15,1519360797994i</v>
      </c>
      <c r="AQ183">
        <f t="shared" si="186"/>
        <v>23.832913411815145</v>
      </c>
      <c r="AR183" s="43">
        <f t="shared" si="187"/>
        <v>-77.056428992422056</v>
      </c>
      <c r="AS183" t="str">
        <f t="shared" si="164"/>
        <v>-0,0000166666666666667</v>
      </c>
      <c r="AT183" t="str">
        <f t="shared" si="165"/>
        <v>9,30105842539599E-06i</v>
      </c>
      <c r="AU183">
        <f t="shared" si="188"/>
        <v>9.3010584253959905E-6</v>
      </c>
      <c r="AV183">
        <f t="shared" si="189"/>
        <v>1.5707963267948966</v>
      </c>
      <c r="AW183" t="str">
        <f t="shared" si="166"/>
        <v>1+0,00313010803094856i</v>
      </c>
      <c r="AX183">
        <f t="shared" si="190"/>
        <v>1.0000048987761436</v>
      </c>
      <c r="AY183">
        <f t="shared" si="191"/>
        <v>3.1300978085179146E-3</v>
      </c>
      <c r="AZ183" t="str">
        <f t="shared" si="167"/>
        <v>1+0,740941286754538i</v>
      </c>
      <c r="BA183">
        <f t="shared" si="192"/>
        <v>1.2445858710500737</v>
      </c>
      <c r="BB183">
        <f t="shared" si="193"/>
        <v>0.63767827911399722</v>
      </c>
      <c r="BC183" s="41" t="str">
        <f t="shared" si="194"/>
        <v>-1,3220788364232+1,79604900902554i</v>
      </c>
      <c r="BD183">
        <f t="shared" si="195"/>
        <v>6.9667823218141391</v>
      </c>
      <c r="BE183" s="43">
        <f t="shared" si="196"/>
        <v>126.356932686506</v>
      </c>
      <c r="BF183" s="41" t="str">
        <f t="shared" si="197"/>
        <v>7,22707218401489+8,23387292917288i</v>
      </c>
      <c r="BG183" s="20">
        <f t="shared" si="198"/>
        <v>20.792798043900834</v>
      </c>
      <c r="BH183" s="43">
        <f t="shared" si="199"/>
        <v>48.725781441427344</v>
      </c>
      <c r="BI183" s="41" t="str">
        <f t="shared" si="203"/>
        <v>22,6096315487697+26,2865891329698i</v>
      </c>
      <c r="BJ183" s="20">
        <f t="shared" si="200"/>
        <v>30.799695733629292</v>
      </c>
      <c r="BK183" s="43">
        <f t="shared" si="204"/>
        <v>49.300503694083972</v>
      </c>
      <c r="BL183">
        <f t="shared" si="201"/>
        <v>20.792798043900834</v>
      </c>
      <c r="BM183" s="43">
        <f t="shared" si="202"/>
        <v>48.725781441427344</v>
      </c>
    </row>
    <row r="184" spans="14:65" x14ac:dyDescent="0.25">
      <c r="N184" s="9">
        <v>66</v>
      </c>
      <c r="O184" s="34">
        <f t="shared" ref="O184:O218" si="205">10^(2+(N184/100))</f>
        <v>457.0881896148756</v>
      </c>
      <c r="P184" s="33" t="str">
        <f t="shared" si="155"/>
        <v>54,631621870174</v>
      </c>
      <c r="Q184" s="4" t="str">
        <f t="shared" si="156"/>
        <v>1+11,4465950273604i</v>
      </c>
      <c r="R184" s="4">
        <f t="shared" si="168"/>
        <v>11.490193110665802</v>
      </c>
      <c r="S184" s="4">
        <f t="shared" si="169"/>
        <v>1.4836553445451968</v>
      </c>
      <c r="T184" s="4" t="str">
        <f t="shared" si="157"/>
        <v>1+0,143598489853675i</v>
      </c>
      <c r="U184" s="4">
        <f t="shared" si="170"/>
        <v>1.0102576534173131</v>
      </c>
      <c r="V184" s="4">
        <f t="shared" si="171"/>
        <v>0.14262349913631919</v>
      </c>
      <c r="W184" t="str">
        <f t="shared" si="158"/>
        <v>1-0,0114285409693462i</v>
      </c>
      <c r="X184" s="4">
        <f t="shared" si="172"/>
        <v>1.0000653036420613</v>
      </c>
      <c r="Y184" s="4">
        <f t="shared" si="173"/>
        <v>-1.1428043441856902E-2</v>
      </c>
      <c r="Z184" t="str">
        <f t="shared" si="159"/>
        <v>0,999999164281548+0,00157018909466168i</v>
      </c>
      <c r="AA184" s="4">
        <f t="shared" si="174"/>
        <v>1.0000003970287148</v>
      </c>
      <c r="AB184" s="4">
        <f t="shared" si="175"/>
        <v>1.5701891164669609E-3</v>
      </c>
      <c r="AC184" s="47" t="str">
        <f t="shared" si="176"/>
        <v>1,03314753957473-4,69129727430368i</v>
      </c>
      <c r="AD184" s="20">
        <f t="shared" si="177"/>
        <v>13.631542058016015</v>
      </c>
      <c r="AE184" s="43">
        <f t="shared" si="178"/>
        <v>-77.580208801290496</v>
      </c>
      <c r="AF184" t="str">
        <f t="shared" si="160"/>
        <v>171,265703090588</v>
      </c>
      <c r="AG184" t="str">
        <f t="shared" si="161"/>
        <v>1+11,3370509133609i</v>
      </c>
      <c r="AH184">
        <f t="shared" si="179"/>
        <v>11.381068641043214</v>
      </c>
      <c r="AI184">
        <f t="shared" si="180"/>
        <v>1.4828176634247039</v>
      </c>
      <c r="AJ184" t="str">
        <f t="shared" si="162"/>
        <v>1+0,143598489853675i</v>
      </c>
      <c r="AK184">
        <f t="shared" si="181"/>
        <v>1.0102576534173131</v>
      </c>
      <c r="AL184">
        <f t="shared" si="182"/>
        <v>0.14262349913631919</v>
      </c>
      <c r="AM184" t="str">
        <f t="shared" si="163"/>
        <v>1-0,0036106708941984i</v>
      </c>
      <c r="AN184">
        <f t="shared" si="183"/>
        <v>1.0000065184509082</v>
      </c>
      <c r="AO184">
        <f t="shared" si="184"/>
        <v>-3.6106552036160155E-3</v>
      </c>
      <c r="AP184" s="41" t="str">
        <f t="shared" si="185"/>
        <v>3,42133820619896-14,8127731972918i</v>
      </c>
      <c r="AQ184">
        <f t="shared" si="186"/>
        <v>23.638446785429963</v>
      </c>
      <c r="AR184" s="43">
        <f t="shared" si="187"/>
        <v>-76.994344646231056</v>
      </c>
      <c r="AS184" t="str">
        <f t="shared" si="164"/>
        <v>-0,0000166666666666667</v>
      </c>
      <c r="AT184" t="str">
        <f t="shared" si="165"/>
        <v>9,51770790750159E-06i</v>
      </c>
      <c r="AU184">
        <f t="shared" si="188"/>
        <v>9.5177079075015904E-6</v>
      </c>
      <c r="AV184">
        <f t="shared" si="189"/>
        <v>1.5707963267948966</v>
      </c>
      <c r="AW184" t="str">
        <f t="shared" si="166"/>
        <v>1+0,00320301761315137i</v>
      </c>
      <c r="AX184">
        <f t="shared" si="190"/>
        <v>1.0000051296477583</v>
      </c>
      <c r="AY184">
        <f t="shared" si="191"/>
        <v>3.2030066596226217E-3</v>
      </c>
      <c r="AZ184" t="str">
        <f t="shared" si="167"/>
        <v>1+0,758200026427404i</v>
      </c>
      <c r="BA184">
        <f t="shared" si="192"/>
        <v>1.2549371618031384</v>
      </c>
      <c r="BB184">
        <f t="shared" si="193"/>
        <v>0.6487285028157318</v>
      </c>
      <c r="BC184" s="41" t="str">
        <f t="shared" si="194"/>
        <v>-1,32207822596546+1,75535653060175i</v>
      </c>
      <c r="BD184">
        <f t="shared" si="195"/>
        <v>6.8387225886165135</v>
      </c>
      <c r="BE184" s="43">
        <f t="shared" si="196"/>
        <v>126.98588649783355</v>
      </c>
      <c r="BF184" s="41" t="str">
        <f t="shared" si="197"/>
        <v>6,86899744116162+8,01580425855564i</v>
      </c>
      <c r="BG184" s="20">
        <f t="shared" si="198"/>
        <v>20.470264646632529</v>
      </c>
      <c r="BH184" s="43">
        <f t="shared" si="199"/>
        <v>49.40567769654303</v>
      </c>
      <c r="BI184" s="41" t="str">
        <f t="shared" si="203"/>
        <v>21,4784214221094+25,5893132739529i</v>
      </c>
      <c r="BJ184" s="20">
        <f t="shared" si="200"/>
        <v>30.47716937404649</v>
      </c>
      <c r="BK184" s="43">
        <f t="shared" si="204"/>
        <v>49.99154185160247</v>
      </c>
      <c r="BL184">
        <f t="shared" si="201"/>
        <v>20.470264646632529</v>
      </c>
      <c r="BM184" s="43">
        <f t="shared" si="202"/>
        <v>49.40567769654303</v>
      </c>
    </row>
    <row r="185" spans="14:65" x14ac:dyDescent="0.25">
      <c r="N185" s="9">
        <v>67</v>
      </c>
      <c r="O185" s="34">
        <f t="shared" si="205"/>
        <v>467.7351412871983</v>
      </c>
      <c r="P185" s="33" t="str">
        <f t="shared" si="155"/>
        <v>54,631621870174</v>
      </c>
      <c r="Q185" s="4" t="str">
        <f t="shared" si="156"/>
        <v>1+11,7132204769736i</v>
      </c>
      <c r="R185" s="4">
        <f t="shared" si="168"/>
        <v>11.755829785353038</v>
      </c>
      <c r="S185" s="4">
        <f t="shared" si="169"/>
        <v>1.485629226905018</v>
      </c>
      <c r="T185" s="4" t="str">
        <f t="shared" si="157"/>
        <v>1+0,146943328369364i</v>
      </c>
      <c r="U185" s="4">
        <f t="shared" si="170"/>
        <v>1.0107385130449253</v>
      </c>
      <c r="V185" s="4">
        <f t="shared" si="171"/>
        <v>0.14589920553165395</v>
      </c>
      <c r="W185" t="str">
        <f t="shared" si="158"/>
        <v>1-0,0116947458859254i</v>
      </c>
      <c r="X185" s="4">
        <f t="shared" si="172"/>
        <v>1.0000683812026738</v>
      </c>
      <c r="Y185" s="4">
        <f t="shared" si="173"/>
        <v>-1.1694212777584456E-2</v>
      </c>
      <c r="Z185" t="str">
        <f t="shared" si="159"/>
        <v>0,99999912489535+0,00160676349712296i</v>
      </c>
      <c r="AA185" s="4">
        <f t="shared" si="174"/>
        <v>1.0000004157401143</v>
      </c>
      <c r="AB185" s="4">
        <f t="shared" si="175"/>
        <v>1.6067635204877289E-3</v>
      </c>
      <c r="AC185" s="47" t="str">
        <f t="shared" si="176"/>
        <v>1,01486886423248-4,58647682465709i</v>
      </c>
      <c r="AD185" s="20">
        <f t="shared" si="177"/>
        <v>13.437182697538546</v>
      </c>
      <c r="AE185" s="43">
        <f t="shared" si="178"/>
        <v>-77.522965716948406</v>
      </c>
      <c r="AF185" t="str">
        <f t="shared" si="160"/>
        <v>171,265703090588</v>
      </c>
      <c r="AG185" t="str">
        <f t="shared" si="161"/>
        <v>1+11,6011247527723i</v>
      </c>
      <c r="AH185">
        <f t="shared" si="179"/>
        <v>11.644144259213991</v>
      </c>
      <c r="AI185">
        <f t="shared" si="180"/>
        <v>1.4848103318866512</v>
      </c>
      <c r="AJ185" t="str">
        <f t="shared" si="162"/>
        <v>1+0,146943328369364i</v>
      </c>
      <c r="AK185">
        <f t="shared" si="181"/>
        <v>1.0107385130449253</v>
      </c>
      <c r="AL185">
        <f t="shared" si="182"/>
        <v>0.14589920553165395</v>
      </c>
      <c r="AM185" t="str">
        <f t="shared" si="163"/>
        <v>1-0,0036947742234653i</v>
      </c>
      <c r="AN185">
        <f t="shared" si="183"/>
        <v>1.0000068256549863</v>
      </c>
      <c r="AO185">
        <f t="shared" si="184"/>
        <v>-3.6947574107095626E-3</v>
      </c>
      <c r="AP185" s="41" t="str">
        <f t="shared" si="185"/>
        <v>3,36299696416643-14,4809829819818i</v>
      </c>
      <c r="AQ185">
        <f t="shared" si="186"/>
        <v>23.444092063306901</v>
      </c>
      <c r="AR185" s="43">
        <f t="shared" si="187"/>
        <v>-76.925650689206975</v>
      </c>
      <c r="AS185" t="str">
        <f t="shared" si="164"/>
        <v>-0,0000166666666666667</v>
      </c>
      <c r="AT185" t="str">
        <f t="shared" si="165"/>
        <v>9,73940380432149E-06i</v>
      </c>
      <c r="AU185">
        <f t="shared" si="188"/>
        <v>9.7394038043214906E-6</v>
      </c>
      <c r="AV185">
        <f t="shared" si="189"/>
        <v>1.5707963267948966</v>
      </c>
      <c r="AW185" t="str">
        <f t="shared" si="166"/>
        <v>1+0,00327762547768963i</v>
      </c>
      <c r="AX185">
        <f t="shared" si="190"/>
        <v>1.0000053713999599</v>
      </c>
      <c r="AY185">
        <f t="shared" si="191"/>
        <v>3.2776137407755208E-3</v>
      </c>
      <c r="AZ185" t="str">
        <f t="shared" si="167"/>
        <v>1+0,775860773790244i</v>
      </c>
      <c r="BA185">
        <f t="shared" si="192"/>
        <v>1.2656855613881342</v>
      </c>
      <c r="BB185">
        <f t="shared" si="193"/>
        <v>0.65984761779525913</v>
      </c>
      <c r="BC185" s="41" t="str">
        <f t="shared" si="194"/>
        <v>-1,32207758673832+1,71559476526102i</v>
      </c>
      <c r="BD185">
        <f t="shared" si="195"/>
        <v>6.7127974044614769</v>
      </c>
      <c r="BE185" s="43">
        <f t="shared" si="196"/>
        <v>127.6186901872093</v>
      </c>
      <c r="BF185" s="41" t="str">
        <f t="shared" si="197"/>
        <v>6,52680025249235+7,80478192287752i</v>
      </c>
      <c r="BG185" s="20">
        <f t="shared" si="198"/>
        <v>20.149980102000026</v>
      </c>
      <c r="BH185" s="43">
        <f t="shared" si="199"/>
        <v>50.095724470260926</v>
      </c>
      <c r="BI185" s="41" t="str">
        <f t="shared" si="203"/>
        <v>20,3973556891284+24,9145230217298i</v>
      </c>
      <c r="BJ185" s="20">
        <f t="shared" si="200"/>
        <v>30.156889467768369</v>
      </c>
      <c r="BK185" s="43">
        <f t="shared" si="204"/>
        <v>50.693039498002385</v>
      </c>
      <c r="BL185">
        <f t="shared" si="201"/>
        <v>20.149980102000026</v>
      </c>
      <c r="BM185" s="43">
        <f t="shared" si="202"/>
        <v>50.095724470260926</v>
      </c>
    </row>
    <row r="186" spans="14:65" x14ac:dyDescent="0.25">
      <c r="N186" s="9">
        <v>68</v>
      </c>
      <c r="O186" s="34">
        <f t="shared" si="205"/>
        <v>478.63009232263886</v>
      </c>
      <c r="P186" s="33" t="str">
        <f t="shared" si="155"/>
        <v>54,631621870174</v>
      </c>
      <c r="Q186" s="4" t="str">
        <f t="shared" si="156"/>
        <v>1+11,9860564311266i</v>
      </c>
      <c r="R186" s="4">
        <f t="shared" si="168"/>
        <v>12.02769923011676</v>
      </c>
      <c r="S186" s="4">
        <f t="shared" si="169"/>
        <v>1.4875588212677819</v>
      </c>
      <c r="T186" s="4" t="str">
        <f t="shared" si="157"/>
        <v>1+0,15036607818278i</v>
      </c>
      <c r="U186" s="4">
        <f t="shared" si="170"/>
        <v>1.0112417898149135</v>
      </c>
      <c r="V186" s="4">
        <f t="shared" si="171"/>
        <v>0.14924795104084543</v>
      </c>
      <c r="W186" t="str">
        <f t="shared" si="158"/>
        <v>1-0,0119671515115717i</v>
      </c>
      <c r="X186" s="4">
        <f t="shared" si="172"/>
        <v>1.0000716037940989</v>
      </c>
      <c r="Y186" s="4">
        <f t="shared" si="173"/>
        <v>-1.1966580277901522E-2</v>
      </c>
      <c r="Z186" t="str">
        <f t="shared" si="159"/>
        <v>0,999999083652939+0,00164418982685844i</v>
      </c>
      <c r="AA186" s="4">
        <f t="shared" si="174"/>
        <v>1.0000004353333574</v>
      </c>
      <c r="AB186" s="4">
        <f t="shared" si="175"/>
        <v>1.6441898518942271E-3</v>
      </c>
      <c r="AC186" s="47" t="str">
        <f t="shared" si="176"/>
        <v>0,997401165855346-4,48394865484111i</v>
      </c>
      <c r="AD186" s="20">
        <f t="shared" si="177"/>
        <v>13.242948999183552</v>
      </c>
      <c r="AE186" s="43">
        <f t="shared" si="178"/>
        <v>-77.459404224843922</v>
      </c>
      <c r="AF186" t="str">
        <f t="shared" si="160"/>
        <v>171,265703090588</v>
      </c>
      <c r="AG186" t="str">
        <f t="shared" si="161"/>
        <v>1+11,8713496620867i</v>
      </c>
      <c r="AH186">
        <f t="shared" si="179"/>
        <v>11.91339342083212</v>
      </c>
      <c r="AI186">
        <f t="shared" si="180"/>
        <v>1.4867583033626854</v>
      </c>
      <c r="AJ186" t="str">
        <f t="shared" si="162"/>
        <v>1+0,15036607818278i</v>
      </c>
      <c r="AK186">
        <f t="shared" si="181"/>
        <v>1.0112417898149135</v>
      </c>
      <c r="AL186">
        <f t="shared" si="182"/>
        <v>0.14924795104084543</v>
      </c>
      <c r="AM186" t="str">
        <f t="shared" si="163"/>
        <v>1-0,00378083657093161i</v>
      </c>
      <c r="AN186">
        <f t="shared" si="183"/>
        <v>1.0000071473370458</v>
      </c>
      <c r="AO186">
        <f t="shared" si="184"/>
        <v>-3.7808185557462173E-3</v>
      </c>
      <c r="AP186" s="41" t="str">
        <f t="shared" si="185"/>
        <v>3,30724363720244-14,1564211675847i</v>
      </c>
      <c r="AQ186">
        <f t="shared" si="186"/>
        <v>23.24986061113956</v>
      </c>
      <c r="AR186" s="43">
        <f t="shared" si="187"/>
        <v>-76.850323189446229</v>
      </c>
      <c r="AS186" t="str">
        <f t="shared" si="164"/>
        <v>-0,0000166666666666667</v>
      </c>
      <c r="AT186" t="str">
        <f t="shared" si="165"/>
        <v>0,0000099662636619547i</v>
      </c>
      <c r="AU186">
        <f t="shared" si="188"/>
        <v>9.9662636619547001E-6</v>
      </c>
      <c r="AV186">
        <f t="shared" si="189"/>
        <v>1.5707963267948966</v>
      </c>
      <c r="AW186" t="str">
        <f t="shared" si="166"/>
        <v>1+0,00335397118264066i</v>
      </c>
      <c r="AX186">
        <f t="shared" si="190"/>
        <v>1.0000056245455293</v>
      </c>
      <c r="AY186">
        <f t="shared" si="191"/>
        <v>3.3539586063144281E-3</v>
      </c>
      <c r="AZ186" t="str">
        <f t="shared" si="167"/>
        <v>1+0,793932892805081i</v>
      </c>
      <c r="BA186">
        <f t="shared" si="192"/>
        <v>1.2768435449489668</v>
      </c>
      <c r="BB186">
        <f t="shared" si="193"/>
        <v>0.67103052236714511</v>
      </c>
      <c r="BC186" s="41" t="str">
        <f t="shared" si="194"/>
        <v>-1,32207691738601+1,67674263077589i</v>
      </c>
      <c r="BD186">
        <f t="shared" si="195"/>
        <v>6.5890323946588945</v>
      </c>
      <c r="BE186" s="43">
        <f t="shared" si="196"/>
        <v>128.25504918329312</v>
      </c>
      <c r="BF186" s="41" t="str">
        <f t="shared" si="197"/>
        <v>6,19978680503105+7,60051007008471i</v>
      </c>
      <c r="BG186" s="20">
        <f t="shared" si="198"/>
        <v>19.831981393842447</v>
      </c>
      <c r="BH186" s="43">
        <f t="shared" si="199"/>
        <v>50.795644958449181</v>
      </c>
      <c r="BI186" s="41" t="str">
        <f t="shared" si="203"/>
        <v>19,3642443979904+24,2612740553181i</v>
      </c>
      <c r="BJ186" s="20">
        <f t="shared" si="200"/>
        <v>29.838893005798468</v>
      </c>
      <c r="BK186" s="43">
        <f t="shared" si="204"/>
        <v>51.404725993846881</v>
      </c>
      <c r="BL186">
        <f t="shared" si="201"/>
        <v>19.831981393842447</v>
      </c>
      <c r="BM186" s="43">
        <f t="shared" si="202"/>
        <v>50.795644958449181</v>
      </c>
    </row>
    <row r="187" spans="14:65" x14ac:dyDescent="0.25">
      <c r="N187" s="9">
        <v>69</v>
      </c>
      <c r="O187" s="34">
        <f t="shared" si="205"/>
        <v>489.77881936844625</v>
      </c>
      <c r="P187" s="33" t="str">
        <f t="shared" si="155"/>
        <v>54,631621870174</v>
      </c>
      <c r="Q187" s="4" t="str">
        <f t="shared" si="156"/>
        <v>1+12,2652475510535i</v>
      </c>
      <c r="R187" s="4">
        <f t="shared" si="168"/>
        <v>12.305945615377302</v>
      </c>
      <c r="S187" s="4">
        <f t="shared" si="169"/>
        <v>1.4894450932218091</v>
      </c>
      <c r="T187" s="4" t="str">
        <f t="shared" si="157"/>
        <v>1+0,153868554081179i</v>
      </c>
      <c r="U187" s="4">
        <f t="shared" si="170"/>
        <v>1.0117685169716604</v>
      </c>
      <c r="V187" s="4">
        <f t="shared" si="171"/>
        <v>0.15267121063211081</v>
      </c>
      <c r="W187" t="str">
        <f t="shared" si="158"/>
        <v>1-0,0122459022793534i</v>
      </c>
      <c r="X187" s="4">
        <f t="shared" si="172"/>
        <v>1.0000749782504488</v>
      </c>
      <c r="Y187" s="4">
        <f t="shared" si="173"/>
        <v>-1.2245290193926435E-2</v>
      </c>
      <c r="Z187" t="str">
        <f t="shared" si="159"/>
        <v>0,999999040466832+0,00168248792780355i</v>
      </c>
      <c r="AA187" s="4">
        <f t="shared" si="174"/>
        <v>1.000000455850002</v>
      </c>
      <c r="AB187" s="4">
        <f t="shared" si="175"/>
        <v>1.6824879546298657E-3</v>
      </c>
      <c r="AC187" s="47" t="str">
        <f t="shared" si="176"/>
        <v>0,980708955644691-4,38366758874645i</v>
      </c>
      <c r="AD187" s="20">
        <f t="shared" si="177"/>
        <v>13.048852543843715</v>
      </c>
      <c r="AE187" s="43">
        <f t="shared" si="178"/>
        <v>-77.389504541613178</v>
      </c>
      <c r="AF187" t="str">
        <f t="shared" si="160"/>
        <v>171,265703090588</v>
      </c>
      <c r="AG187" t="str">
        <f t="shared" si="161"/>
        <v>1+12,1478689181278i</v>
      </c>
      <c r="AH187">
        <f t="shared" si="179"/>
        <v>12.188958907635037</v>
      </c>
      <c r="AI187">
        <f t="shared" si="180"/>
        <v>1.4886625515261476</v>
      </c>
      <c r="AJ187" t="str">
        <f t="shared" si="162"/>
        <v>1+0,153868554081179i</v>
      </c>
      <c r="AK187">
        <f t="shared" si="181"/>
        <v>1.0117685169716604</v>
      </c>
      <c r="AL187">
        <f t="shared" si="182"/>
        <v>0.15267121063211081</v>
      </c>
      <c r="AM187" t="str">
        <f t="shared" si="163"/>
        <v>1-0,00386890356799312i</v>
      </c>
      <c r="AN187">
        <f t="shared" si="183"/>
        <v>1.0000074841794029</v>
      </c>
      <c r="AO187">
        <f t="shared" si="184"/>
        <v>-3.8688842643819867E-3</v>
      </c>
      <c r="AP187" s="41" t="str">
        <f t="shared" si="185"/>
        <v>3,25396504794372-13,8389452581064i</v>
      </c>
      <c r="AQ187">
        <f t="shared" si="186"/>
        <v>23.05576401214665</v>
      </c>
      <c r="AR187" s="43">
        <f t="shared" si="187"/>
        <v>-76.76833603902557</v>
      </c>
      <c r="AS187" t="str">
        <f t="shared" si="164"/>
        <v>-0,0000166666666666667</v>
      </c>
      <c r="AT187" t="str">
        <f t="shared" si="165"/>
        <v>0,0000101984077645006i</v>
      </c>
      <c r="AU187">
        <f t="shared" si="188"/>
        <v>1.0198407764500599E-5</v>
      </c>
      <c r="AV187">
        <f t="shared" si="189"/>
        <v>1.5707963267948966</v>
      </c>
      <c r="AW187" t="str">
        <f t="shared" si="166"/>
        <v>1+0,00343209520750778i</v>
      </c>
      <c r="AX187">
        <f t="shared" si="190"/>
        <v>1.0000058896214128</v>
      </c>
      <c r="AY187">
        <f t="shared" si="191"/>
        <v>3.4320817317357202E-3</v>
      </c>
      <c r="AZ187" t="str">
        <f t="shared" si="167"/>
        <v>1+0,812425965548627i</v>
      </c>
      <c r="BA187">
        <f t="shared" si="192"/>
        <v>1.2884238237077188</v>
      </c>
      <c r="BB187">
        <f t="shared" si="193"/>
        <v>0.6822719583893655</v>
      </c>
      <c r="BC187" s="41" t="str">
        <f t="shared" si="194"/>
        <v>-1,32207621648881+1,63877952721625i</v>
      </c>
      <c r="BD187">
        <f t="shared" si="195"/>
        <v>6.4674513186492071</v>
      </c>
      <c r="BE187" s="43">
        <f t="shared" si="196"/>
        <v>128.89465989766347</v>
      </c>
      <c r="BF187" s="41" t="str">
        <f t="shared" si="197"/>
        <v>5,88729271300368+7,40270841874268i</v>
      </c>
      <c r="BG187" s="20">
        <f t="shared" si="198"/>
        <v>19.516303862492919</v>
      </c>
      <c r="BH187" s="43">
        <f t="shared" si="199"/>
        <v>51.505155356050288</v>
      </c>
      <c r="BI187" s="41" t="str">
        <f t="shared" si="203"/>
        <v>18,3769903680789+23,6286716898805i</v>
      </c>
      <c r="BJ187" s="20">
        <f t="shared" si="200"/>
        <v>29.523215330795857</v>
      </c>
      <c r="BK187" s="43">
        <f t="shared" si="204"/>
        <v>52.126323858637939</v>
      </c>
      <c r="BL187">
        <f t="shared" si="201"/>
        <v>19.516303862492919</v>
      </c>
      <c r="BM187" s="43">
        <f t="shared" si="202"/>
        <v>51.505155356050288</v>
      </c>
    </row>
    <row r="188" spans="14:65" x14ac:dyDescent="0.25">
      <c r="N188" s="9">
        <v>70</v>
      </c>
      <c r="O188" s="34">
        <f t="shared" si="205"/>
        <v>501.18723362727269</v>
      </c>
      <c r="P188" s="33" t="str">
        <f t="shared" si="155"/>
        <v>54,631621870174</v>
      </c>
      <c r="Q188" s="4" t="str">
        <f t="shared" si="156"/>
        <v>1+12,5509418675817i</v>
      </c>
      <c r="R188" s="4">
        <f t="shared" si="168"/>
        <v>12.590716491265111</v>
      </c>
      <c r="S188" s="4">
        <f t="shared" si="169"/>
        <v>1.4912889891723935</v>
      </c>
      <c r="T188" s="4" t="str">
        <f t="shared" si="157"/>
        <v>1+0,157452613123643i</v>
      </c>
      <c r="U188" s="4">
        <f t="shared" si="170"/>
        <v>1.0123197742706913</v>
      </c>
      <c r="V188" s="4">
        <f t="shared" si="171"/>
        <v>0.15617047826805566</v>
      </c>
      <c r="W188" t="str">
        <f t="shared" si="158"/>
        <v>1-0,0125311459866172i</v>
      </c>
      <c r="X188" s="4">
        <f t="shared" si="172"/>
        <v>1.0000785117278232</v>
      </c>
      <c r="Y188" s="4">
        <f t="shared" si="173"/>
        <v>-1.2530490128046572E-2</v>
      </c>
      <c r="Z188" t="str">
        <f t="shared" si="159"/>
        <v>0,999998995245427+0,00172167810611834i</v>
      </c>
      <c r="AA188" s="4">
        <f t="shared" si="174"/>
        <v>1.0000004773335684</v>
      </c>
      <c r="AB188" s="4">
        <f t="shared" si="175"/>
        <v>1.7216781348632386E-3</v>
      </c>
      <c r="AC188" s="47" t="str">
        <f t="shared" si="176"/>
        <v>0,964758254048582-4,28558904231153i</v>
      </c>
      <c r="AD188" s="20">
        <f t="shared" si="177"/>
        <v>12.854905154185305</v>
      </c>
      <c r="AE188" s="43">
        <f t="shared" si="178"/>
        <v>-77.313244914984779</v>
      </c>
      <c r="AF188" t="str">
        <f t="shared" si="160"/>
        <v>171,265703090588</v>
      </c>
      <c r="AG188" t="str">
        <f t="shared" si="161"/>
        <v>1+12,4308291350654i</v>
      </c>
      <c r="AH188">
        <f t="shared" si="179"/>
        <v>12.47098684889014</v>
      </c>
      <c r="AI188">
        <f t="shared" si="180"/>
        <v>1.4905240307630025</v>
      </c>
      <c r="AJ188" t="str">
        <f t="shared" si="162"/>
        <v>1+0,157452613123643i</v>
      </c>
      <c r="AK188">
        <f t="shared" si="181"/>
        <v>1.0123197742706913</v>
      </c>
      <c r="AL188">
        <f t="shared" si="182"/>
        <v>0.15617047826805566</v>
      </c>
      <c r="AM188" t="str">
        <f t="shared" si="163"/>
        <v>1-0,00395902190893736i</v>
      </c>
      <c r="AN188">
        <f t="shared" si="183"/>
        <v>1.0000078368965293</v>
      </c>
      <c r="AO188">
        <f t="shared" si="184"/>
        <v>-3.9590012247541252E-3</v>
      </c>
      <c r="AP188" s="41" t="str">
        <f t="shared" si="185"/>
        <v>3,20305282706448-13,5284145845408i</v>
      </c>
      <c r="AQ188">
        <f t="shared" si="186"/>
        <v>22.861814086467795</v>
      </c>
      <c r="AR188" s="43">
        <f t="shared" si="187"/>
        <v>-76.679660997514119</v>
      </c>
      <c r="AS188" t="str">
        <f t="shared" si="164"/>
        <v>-0,0000166666666666667</v>
      </c>
      <c r="AT188" t="str">
        <f t="shared" si="165"/>
        <v>0,0000104359591978351i</v>
      </c>
      <c r="AU188">
        <f t="shared" si="188"/>
        <v>1.04359591978351E-5</v>
      </c>
      <c r="AV188">
        <f t="shared" si="189"/>
        <v>1.5707963267948966</v>
      </c>
      <c r="AW188" t="str">
        <f t="shared" si="166"/>
        <v>1+0,00351203897468307i</v>
      </c>
      <c r="AX188">
        <f t="shared" si="190"/>
        <v>1.0000061671898628</v>
      </c>
      <c r="AY188">
        <f t="shared" si="191"/>
        <v>3.5120245351379642E-3</v>
      </c>
      <c r="AZ188" t="str">
        <f t="shared" si="167"/>
        <v>1+0,831349797292835i</v>
      </c>
      <c r="BA188">
        <f t="shared" si="192"/>
        <v>1.3004393432447503</v>
      </c>
      <c r="BB188">
        <f t="shared" si="193"/>
        <v>0.69356652224157134</v>
      </c>
      <c r="BC188" s="41" t="str">
        <f t="shared" si="194"/>
        <v>-1,32207548256014+1,60168532602695i</v>
      </c>
      <c r="BD188">
        <f t="shared" si="195"/>
        <v>6.3480759778444487</v>
      </c>
      <c r="BE188" s="43">
        <f t="shared" si="196"/>
        <v>129.53721035259841</v>
      </c>
      <c r="BF188" s="41" t="str">
        <f t="shared" si="197"/>
        <v>5,58868184817711+7,21111133984146i</v>
      </c>
      <c r="BG188" s="20">
        <f t="shared" si="198"/>
        <v>19.202981132029755</v>
      </c>
      <c r="BH188" s="43">
        <f t="shared" si="199"/>
        <v>52.223965437613636</v>
      </c>
      <c r="BI188" s="41" t="str">
        <f t="shared" si="203"/>
        <v>17,4335855124611+23,0158679517287i</v>
      </c>
      <c r="BJ188" s="20">
        <f t="shared" si="200"/>
        <v>29.209890064312244</v>
      </c>
      <c r="BK188" s="43">
        <f t="shared" si="204"/>
        <v>52.857549355084224</v>
      </c>
      <c r="BL188">
        <f t="shared" si="201"/>
        <v>19.202981132029755</v>
      </c>
      <c r="BM188" s="43">
        <f t="shared" si="202"/>
        <v>52.223965437613636</v>
      </c>
    </row>
    <row r="189" spans="14:65" x14ac:dyDescent="0.25">
      <c r="N189" s="9">
        <v>71</v>
      </c>
      <c r="O189" s="34">
        <f t="shared" si="205"/>
        <v>512.86138399136519</v>
      </c>
      <c r="P189" s="33" t="str">
        <f t="shared" si="155"/>
        <v>54,631621870174</v>
      </c>
      <c r="Q189" s="4" t="str">
        <f t="shared" si="156"/>
        <v>1+12,8432908596195i</v>
      </c>
      <c r="R189" s="4">
        <f t="shared" si="168"/>
        <v>12.882162865947075</v>
      </c>
      <c r="S189" s="4">
        <f t="shared" si="169"/>
        <v>1.4930914365963495</v>
      </c>
      <c r="T189" s="4" t="str">
        <f t="shared" si="157"/>
        <v>1+0,161120155625716i</v>
      </c>
      <c r="U189" s="4">
        <f t="shared" si="170"/>
        <v>1.0128966899683576</v>
      </c>
      <c r="V189" s="4">
        <f t="shared" si="171"/>
        <v>0.1597472663460423</v>
      </c>
      <c r="W189" t="str">
        <f t="shared" si="158"/>
        <v>1-0,0128230338733525i</v>
      </c>
      <c r="X189" s="4">
        <f t="shared" si="172"/>
        <v>1.0000822117194752</v>
      </c>
      <c r="Y189" s="4">
        <f t="shared" si="173"/>
        <v>-1.2822331111352664E-2</v>
      </c>
      <c r="Z189" t="str">
        <f t="shared" si="159"/>
        <v>0,999998947892803+0,0017617811409541i</v>
      </c>
      <c r="AA189" s="4">
        <f t="shared" si="174"/>
        <v>1.0000004998296259</v>
      </c>
      <c r="AB189" s="4">
        <f t="shared" si="175"/>
        <v>1.7617811717547951E-3</v>
      </c>
      <c r="AC189" s="47" t="str">
        <f t="shared" si="176"/>
        <v>0,949516530391795-4,18966903842122i</v>
      </c>
      <c r="AD189" s="20">
        <f t="shared" si="177"/>
        <v>12.661118914202593</v>
      </c>
      <c r="AE189" s="43">
        <f t="shared" si="178"/>
        <v>-77.230601675482248</v>
      </c>
      <c r="AF189" t="str">
        <f t="shared" si="160"/>
        <v>171,265703090588</v>
      </c>
      <c r="AG189" t="str">
        <f t="shared" si="161"/>
        <v>1+12,7203803421518i</v>
      </c>
      <c r="AH189">
        <f t="shared" si="179"/>
        <v>12.759626798970334</v>
      </c>
      <c r="AI189">
        <f t="shared" si="180"/>
        <v>1.4923436764236624</v>
      </c>
      <c r="AJ189" t="str">
        <f t="shared" si="162"/>
        <v>1+0,161120155625716i</v>
      </c>
      <c r="AK189">
        <f t="shared" si="181"/>
        <v>1.0128966899683576</v>
      </c>
      <c r="AL189">
        <f t="shared" si="182"/>
        <v>0.1597472663460423</v>
      </c>
      <c r="AM189" t="str">
        <f t="shared" si="163"/>
        <v>1-0,00405123937570157i</v>
      </c>
      <c r="AN189">
        <f t="shared" si="183"/>
        <v>1.0000082062365685</v>
      </c>
      <c r="AO189">
        <f t="shared" si="184"/>
        <v>-4.0512172122097439E-3</v>
      </c>
      <c r="AP189" s="41" t="str">
        <f t="shared" si="185"/>
        <v>3,15440322146308-13,2246903542839i</v>
      </c>
      <c r="AQ189">
        <f t="shared" si="186"/>
        <v>22.668022910694066</v>
      </c>
      <c r="AR189" s="43">
        <f t="shared" si="187"/>
        <v>-76.584267739882705</v>
      </c>
      <c r="AS189" t="str">
        <f t="shared" si="164"/>
        <v>-0,0000166666666666667</v>
      </c>
      <c r="AT189" t="str">
        <f t="shared" si="165"/>
        <v>0,0000106790439148725i</v>
      </c>
      <c r="AU189">
        <f t="shared" si="188"/>
        <v>1.06790439148725E-5</v>
      </c>
      <c r="AV189">
        <f t="shared" si="189"/>
        <v>1.5707963267948966</v>
      </c>
      <c r="AW189" t="str">
        <f t="shared" si="166"/>
        <v>1+0,00359384487141007i</v>
      </c>
      <c r="AX189">
        <f t="shared" si="190"/>
        <v>1.0000064578396282</v>
      </c>
      <c r="AY189">
        <f t="shared" si="191"/>
        <v>3.5938293991641273E-3</v>
      </c>
      <c r="AZ189" t="str">
        <f t="shared" si="167"/>
        <v>1+0,850714421703783i</v>
      </c>
      <c r="BA189">
        <f t="shared" si="192"/>
        <v>1.3129032817747093</v>
      </c>
      <c r="BB189">
        <f t="shared" si="193"/>
        <v>0.70490867665786572</v>
      </c>
      <c r="BC189" s="41" t="str">
        <f t="shared" si="194"/>
        <v>-1,32207471404337+1,56544035935531i</v>
      </c>
      <c r="BD189">
        <f t="shared" si="195"/>
        <v>6.2309261296903875</v>
      </c>
      <c r="BE189" s="43">
        <f t="shared" si="196"/>
        <v>130.1823808577856</v>
      </c>
      <c r="BF189" s="41" t="str">
        <f t="shared" si="197"/>
        <v>5,30334520968875+7,02546699445743i</v>
      </c>
      <c r="BG189" s="20">
        <f t="shared" si="198"/>
        <v>18.892045043892981</v>
      </c>
      <c r="BH189" s="43">
        <f t="shared" si="199"/>
        <v>52.951779182303319</v>
      </c>
      <c r="BI189" s="41" t="str">
        <f t="shared" si="203"/>
        <v>16,5321072835796+22,4220588310107i</v>
      </c>
      <c r="BJ189" s="20">
        <f t="shared" si="200"/>
        <v>28.898949040384451</v>
      </c>
      <c r="BK189" s="43">
        <f t="shared" si="204"/>
        <v>53.598113117902898</v>
      </c>
      <c r="BL189">
        <f t="shared" si="201"/>
        <v>18.892045043892981</v>
      </c>
      <c r="BM189" s="43">
        <f t="shared" si="202"/>
        <v>52.951779182303319</v>
      </c>
    </row>
    <row r="190" spans="14:65" x14ac:dyDescent="0.25">
      <c r="N190" s="9">
        <v>72</v>
      </c>
      <c r="O190" s="34">
        <f t="shared" si="205"/>
        <v>524.80746024977248</v>
      </c>
      <c r="P190" s="33" t="str">
        <f t="shared" si="155"/>
        <v>54,631621870174</v>
      </c>
      <c r="Q190" s="4" t="str">
        <f t="shared" si="156"/>
        <v>1+13,1424495344721i</v>
      </c>
      <c r="R190" s="4">
        <f t="shared" si="168"/>
        <v>13.180439285780496</v>
      </c>
      <c r="S190" s="4">
        <f t="shared" si="169"/>
        <v>1.4948533443024365</v>
      </c>
      <c r="T190" s="4" t="str">
        <f t="shared" si="157"/>
        <v>1+0,16487312616698i</v>
      </c>
      <c r="U190" s="4">
        <f t="shared" si="170"/>
        <v>1.0135004428869645</v>
      </c>
      <c r="V190" s="4">
        <f t="shared" si="171"/>
        <v>0.16340310506496666</v>
      </c>
      <c r="W190" t="str">
        <f t="shared" si="158"/>
        <v>1-0,0131217207023803i</v>
      </c>
      <c r="X190" s="4">
        <f t="shared" si="172"/>
        <v>1.0000860860716898</v>
      </c>
      <c r="Y190" s="4">
        <f t="shared" si="173"/>
        <v>-1.3120967682831258E-2</v>
      </c>
      <c r="Z190" t="str">
        <f t="shared" si="159"/>
        <v>0,999998898308519+0,00180281829547072i</v>
      </c>
      <c r="AA190" s="4">
        <f t="shared" si="174"/>
        <v>1.0000005233858922</v>
      </c>
      <c r="AB190" s="4">
        <f t="shared" si="175"/>
        <v>1.8028183284742379E-3</v>
      </c>
      <c r="AC190" s="47" t="str">
        <f t="shared" si="176"/>
        <v>0,934952644578668-4,09586421971161i</v>
      </c>
      <c r="AD190" s="20">
        <f t="shared" si="177"/>
        <v>12.467506188916619</v>
      </c>
      <c r="AE190" s="43">
        <f t="shared" si="178"/>
        <v>-77.141549292794991</v>
      </c>
      <c r="AF190" t="str">
        <f t="shared" si="160"/>
        <v>171,265703090588</v>
      </c>
      <c r="AG190" t="str">
        <f t="shared" si="161"/>
        <v>1+13,0166760632698i</v>
      </c>
      <c r="AH190">
        <f t="shared" si="179"/>
        <v>13.05503181674028</v>
      </c>
      <c r="AI190">
        <f t="shared" si="180"/>
        <v>1.4941224050810702</v>
      </c>
      <c r="AJ190" t="str">
        <f t="shared" si="162"/>
        <v>1+0,16487312616698i</v>
      </c>
      <c r="AK190">
        <f t="shared" si="181"/>
        <v>1.0135004428869645</v>
      </c>
      <c r="AL190">
        <f t="shared" si="182"/>
        <v>0.16340310506496666</v>
      </c>
      <c r="AM190" t="str">
        <f t="shared" si="163"/>
        <v>1-0,00414560486320728i</v>
      </c>
      <c r="AN190">
        <f t="shared" si="183"/>
        <v>1.0000085929829212</v>
      </c>
      <c r="AO190">
        <f t="shared" si="184"/>
        <v>-4.1455811146089375E-3</v>
      </c>
      <c r="AP190" s="41" t="str">
        <f t="shared" si="185"/>
        <v>3,10791690898977-12,9276356937805i</v>
      </c>
      <c r="AQ190">
        <f t="shared" si="186"/>
        <v>22.474402837534395</v>
      </c>
      <c r="AR190" s="43">
        <f t="shared" si="187"/>
        <v>-76.48212390902215</v>
      </c>
      <c r="AS190" t="str">
        <f t="shared" si="164"/>
        <v>-0,0000166666666666667</v>
      </c>
      <c r="AT190" t="str">
        <f t="shared" si="165"/>
        <v>0,0000109277908023475i</v>
      </c>
      <c r="AU190">
        <f t="shared" si="188"/>
        <v>1.09277908023475E-5</v>
      </c>
      <c r="AV190">
        <f t="shared" si="189"/>
        <v>1.5707963267948966</v>
      </c>
      <c r="AW190" t="str">
        <f t="shared" si="166"/>
        <v>1+0,00367755627225805i</v>
      </c>
      <c r="AX190">
        <f t="shared" si="190"/>
        <v>1.0000067621872042</v>
      </c>
      <c r="AY190">
        <f t="shared" si="191"/>
        <v>3.6775396934538816E-3</v>
      </c>
      <c r="AZ190" t="str">
        <f t="shared" si="167"/>
        <v>1+0,870530106161657i</v>
      </c>
      <c r="BA190">
        <f t="shared" si="192"/>
        <v>1.3258290484575399</v>
      </c>
      <c r="BB190">
        <f t="shared" si="193"/>
        <v>0.71629276335897796</v>
      </c>
      <c r="BC190" s="41" t="str">
        <f t="shared" si="194"/>
        <v>-1,32207390930846+1,53002540962284i</v>
      </c>
      <c r="BD190">
        <f t="shared" si="195"/>
        <v>6.116019408648893</v>
      </c>
      <c r="BE190" s="43">
        <f t="shared" si="196"/>
        <v>130.82984473280581</v>
      </c>
      <c r="BF190" s="41" t="str">
        <f t="shared" si="197"/>
        <v>5,03069983268739+6,84553652395021i</v>
      </c>
      <c r="BG190" s="20">
        <f t="shared" si="198"/>
        <v>18.583525597565515</v>
      </c>
      <c r="BH190" s="43">
        <f t="shared" si="199"/>
        <v>53.688295440010826</v>
      </c>
      <c r="BI190" s="41" t="str">
        <f t="shared" si="203"/>
        <v>15,6707152401574+21,8464817015428i</v>
      </c>
      <c r="BJ190" s="20">
        <f t="shared" si="200"/>
        <v>28.590422246183294</v>
      </c>
      <c r="BK190" s="43">
        <f t="shared" si="204"/>
        <v>54.347720823783646</v>
      </c>
      <c r="BL190">
        <f t="shared" si="201"/>
        <v>18.583525597565515</v>
      </c>
      <c r="BM190" s="43">
        <f t="shared" si="202"/>
        <v>53.688295440010826</v>
      </c>
    </row>
    <row r="191" spans="14:65" x14ac:dyDescent="0.25">
      <c r="N191" s="9">
        <v>73</v>
      </c>
      <c r="O191" s="34">
        <f t="shared" si="205"/>
        <v>537.03179637025301</v>
      </c>
      <c r="P191" s="33" t="str">
        <f t="shared" si="155"/>
        <v>54,631621870174</v>
      </c>
      <c r="Q191" s="4" t="str">
        <f t="shared" si="156"/>
        <v>1+13,4485765100287i</v>
      </c>
      <c r="R191" s="4">
        <f t="shared" si="168"/>
        <v>13.485703917337638</v>
      </c>
      <c r="S191" s="4">
        <f t="shared" si="169"/>
        <v>1.4965756026967985</v>
      </c>
      <c r="T191" s="4" t="str">
        <f t="shared" si="157"/>
        <v>1+0,168713514622091i</v>
      </c>
      <c r="U191" s="4">
        <f t="shared" si="170"/>
        <v>1.0141322645573103</v>
      </c>
      <c r="V191" s="4">
        <f t="shared" si="171"/>
        <v>0.16713954171362547</v>
      </c>
      <c r="W191" t="str">
        <f t="shared" si="158"/>
        <v>1-0,0134273648414111i</v>
      </c>
      <c r="X191" s="4">
        <f t="shared" si="172"/>
        <v>1.0000901430004119</v>
      </c>
      <c r="Y191" s="4">
        <f t="shared" si="173"/>
        <v>-1.3426557970354965E-2</v>
      </c>
      <c r="Z191" t="str">
        <f t="shared" si="159"/>
        <v>0,999998846387399+0,00184481132811072i</v>
      </c>
      <c r="AA191" s="4">
        <f t="shared" si="174"/>
        <v>1.0000005480523324</v>
      </c>
      <c r="AB191" s="4">
        <f t="shared" si="175"/>
        <v>1.8448113634746035E-3</v>
      </c>
      <c r="AC191" s="47" t="str">
        <f t="shared" si="176"/>
        <v>0,921036790829402-4,00413185943247i</v>
      </c>
      <c r="AD191" s="20">
        <f t="shared" si="177"/>
        <v>12.274079644218482</v>
      </c>
      <c r="AE191" s="43">
        <f t="shared" si="178"/>
        <v>-77.046060437046492</v>
      </c>
      <c r="AF191" t="str">
        <f t="shared" si="160"/>
        <v>171,265703090588</v>
      </c>
      <c r="AG191" t="str">
        <f t="shared" si="161"/>
        <v>1+13,3198733983326i</v>
      </c>
      <c r="AH191">
        <f t="shared" si="179"/>
        <v>13.357358546793915</v>
      </c>
      <c r="AI191">
        <f t="shared" si="180"/>
        <v>1.4958611147941419</v>
      </c>
      <c r="AJ191" t="str">
        <f t="shared" si="162"/>
        <v>1+0,168713514622091i</v>
      </c>
      <c r="AK191">
        <f t="shared" si="181"/>
        <v>1.0141322645573103</v>
      </c>
      <c r="AL191">
        <f t="shared" si="182"/>
        <v>0.16713954171362547</v>
      </c>
      <c r="AM191" t="str">
        <f t="shared" si="163"/>
        <v>1-0,00424216840528502i</v>
      </c>
      <c r="AN191">
        <f t="shared" si="183"/>
        <v>1.0000089979559079</v>
      </c>
      <c r="AO191">
        <f t="shared" si="184"/>
        <v>-4.2421429582157905E-3</v>
      </c>
      <c r="AP191" s="41" t="str">
        <f t="shared" si="185"/>
        <v>3,06349881959647-12,6371156848895i</v>
      </c>
      <c r="AQ191">
        <f t="shared" si="186"/>
        <v>22.280966515617486</v>
      </c>
      <c r="AR191" s="43">
        <f t="shared" si="187"/>
        <v>-76.373195173094032</v>
      </c>
      <c r="AS191" t="str">
        <f t="shared" si="164"/>
        <v>-0,0000166666666666667</v>
      </c>
      <c r="AT191" t="str">
        <f t="shared" si="165"/>
        <v>0,0000111823317491522i</v>
      </c>
      <c r="AU191">
        <f t="shared" si="188"/>
        <v>1.1182331749152199E-5</v>
      </c>
      <c r="AV191">
        <f t="shared" si="189"/>
        <v>1.5707963267948966</v>
      </c>
      <c r="AW191" t="str">
        <f t="shared" si="166"/>
        <v>1+0,00376321756211979i</v>
      </c>
      <c r="AX191">
        <f t="shared" si="190"/>
        <v>1.0000070808781405</v>
      </c>
      <c r="AY191">
        <f t="shared" si="191"/>
        <v>3.7631997976178594E-3</v>
      </c>
      <c r="AZ191" t="str">
        <f t="shared" si="167"/>
        <v>1+0,890807357204643i</v>
      </c>
      <c r="BA191">
        <f t="shared" si="192"/>
        <v>1.3392302817849961</v>
      </c>
      <c r="BB191">
        <f t="shared" si="193"/>
        <v>0.7277130164200587</v>
      </c>
      <c r="BC191" s="41" t="str">
        <f t="shared" si="194"/>
        <v>-1,32207306664862+1,49542169933584i</v>
      </c>
      <c r="BD191">
        <f t="shared" si="195"/>
        <v>6.0033712547576652</v>
      </c>
      <c r="BE191" s="43">
        <f t="shared" si="196"/>
        <v>131.47926907173564</v>
      </c>
      <c r="BF191" s="41" t="str">
        <f t="shared" si="197"/>
        <v>4,77018773504925+6,67109328955826i</v>
      </c>
      <c r="BG191" s="20">
        <f t="shared" si="198"/>
        <v>18.277450898976145</v>
      </c>
      <c r="BH191" s="43">
        <f t="shared" si="199"/>
        <v>54.433208634689166</v>
      </c>
      <c r="BI191" s="41" t="str">
        <f t="shared" si="203"/>
        <v>14,8476477331027+21,2884128978295i</v>
      </c>
      <c r="BJ191" s="20">
        <f t="shared" si="200"/>
        <v>28.284337770375139</v>
      </c>
      <c r="BK191" s="43">
        <f t="shared" si="204"/>
        <v>55.106073898641618</v>
      </c>
      <c r="BL191">
        <f t="shared" si="201"/>
        <v>18.277450898976145</v>
      </c>
      <c r="BM191" s="43">
        <f t="shared" si="202"/>
        <v>54.433208634689166</v>
      </c>
    </row>
    <row r="192" spans="14:65" x14ac:dyDescent="0.25">
      <c r="N192" s="9">
        <v>74</v>
      </c>
      <c r="O192" s="34">
        <f t="shared" si="205"/>
        <v>549.54087385762534</v>
      </c>
      <c r="P192" s="33" t="str">
        <f t="shared" si="155"/>
        <v>54,631621870174</v>
      </c>
      <c r="Q192" s="4" t="str">
        <f t="shared" si="156"/>
        <v>1+13,761834098864i</v>
      </c>
      <c r="R192" s="4">
        <f t="shared" si="168"/>
        <v>13.79811863134449</v>
      </c>
      <c r="S192" s="4">
        <f t="shared" si="169"/>
        <v>1.4982590840526173</v>
      </c>
      <c r="T192" s="4" t="str">
        <f t="shared" si="157"/>
        <v>1+0,172643357215843i</v>
      </c>
      <c r="U192" s="4">
        <f t="shared" si="170"/>
        <v>1.0147934414405511</v>
      </c>
      <c r="V192" s="4">
        <f t="shared" si="171"/>
        <v>0.170958139875691</v>
      </c>
      <c r="W192" t="str">
        <f t="shared" si="158"/>
        <v>1-0,0137401283470129i</v>
      </c>
      <c r="X192" s="4">
        <f t="shared" si="172"/>
        <v>1.0000943911086555</v>
      </c>
      <c r="Y192" s="4">
        <f t="shared" si="173"/>
        <v>-1.3739263773506521E-2</v>
      </c>
      <c r="Z192" t="str">
        <f t="shared" si="159"/>
        <v>0,999998792019312+0,00188778250413585i</v>
      </c>
      <c r="AA192" s="4">
        <f t="shared" si="174"/>
        <v>1.0000005738812683</v>
      </c>
      <c r="AB192" s="4">
        <f t="shared" si="175"/>
        <v>1.887782542028908E-3</v>
      </c>
      <c r="AC192" s="47" t="str">
        <f t="shared" si="176"/>
        <v>0,90774044340788-3,91442987050983i</v>
      </c>
      <c r="AD192" s="20">
        <f t="shared" si="177"/>
        <v>12.080852266854251</v>
      </c>
      <c r="AE192" s="43">
        <f t="shared" si="178"/>
        <v>-76.944106045202815</v>
      </c>
      <c r="AF192" t="str">
        <f t="shared" si="160"/>
        <v>171,265703090588</v>
      </c>
      <c r="AG192" t="str">
        <f t="shared" si="161"/>
        <v>1+13,6301331065806i</v>
      </c>
      <c r="AH192">
        <f t="shared" si="179"/>
        <v>13.666767302588587</v>
      </c>
      <c r="AI192">
        <f t="shared" si="180"/>
        <v>1.4975606853757539</v>
      </c>
      <c r="AJ192" t="str">
        <f t="shared" si="162"/>
        <v>1+0,172643357215843i</v>
      </c>
      <c r="AK192">
        <f t="shared" si="181"/>
        <v>1.0147934414405511</v>
      </c>
      <c r="AL192">
        <f t="shared" si="182"/>
        <v>0.170958139875691</v>
      </c>
      <c r="AM192" t="str">
        <f t="shared" si="163"/>
        <v>1-0,00434098120120299i</v>
      </c>
      <c r="AN192">
        <f t="shared" si="183"/>
        <v>1.0000094220145075</v>
      </c>
      <c r="AO192">
        <f t="shared" si="184"/>
        <v>-4.3409539341909241E-3</v>
      </c>
      <c r="AP192" s="41" t="str">
        <f t="shared" si="185"/>
        <v>3,02105796278028-12,3529973954267i</v>
      </c>
      <c r="AQ192">
        <f t="shared" si="186"/>
        <v>22.087726909426756</v>
      </c>
      <c r="AR192" s="43">
        <f t="shared" si="187"/>
        <v>-76.257445287955292</v>
      </c>
      <c r="AS192" t="str">
        <f t="shared" si="164"/>
        <v>-0,0000166666666666667</v>
      </c>
      <c r="AT192" t="str">
        <f t="shared" si="165"/>
        <v>0,0000114428017162661i</v>
      </c>
      <c r="AU192">
        <f t="shared" si="188"/>
        <v>1.1442801716266099E-5</v>
      </c>
      <c r="AV192">
        <f t="shared" si="189"/>
        <v>1.5707963267948966</v>
      </c>
      <c r="AW192" t="str">
        <f t="shared" si="166"/>
        <v>1+0,00385087415974505i</v>
      </c>
      <c r="AX192">
        <f t="shared" si="190"/>
        <v>1.000007414588409</v>
      </c>
      <c r="AY192">
        <f t="shared" si="191"/>
        <v>3.8508551247459057E-3</v>
      </c>
      <c r="AZ192" t="str">
        <f t="shared" si="167"/>
        <v>1+0,911556926099651i</v>
      </c>
      <c r="BA192">
        <f t="shared" si="192"/>
        <v>1.3531208480842518</v>
      </c>
      <c r="BB192">
        <f t="shared" si="193"/>
        <v>0.73916357630219698</v>
      </c>
      <c r="BC192" s="41" t="str">
        <f t="shared" si="194"/>
        <v>-1,32207218427659+1,46161088112907i</v>
      </c>
      <c r="BD192">
        <f t="shared" si="195"/>
        <v>5.8929948503685727</v>
      </c>
      <c r="BE192" s="43">
        <f t="shared" si="196"/>
        <v>132.13031554574786</v>
      </c>
      <c r="BF192" s="41" t="str">
        <f t="shared" si="197"/>
        <v>4,52127490138137+6,50192215842834i</v>
      </c>
      <c r="BG192" s="20">
        <f t="shared" si="198"/>
        <v>17.973847117222821</v>
      </c>
      <c r="BH192" s="43">
        <f t="shared" si="199"/>
        <v>55.186209500545026</v>
      </c>
      <c r="BI192" s="41" t="str">
        <f t="shared" si="203"/>
        <v>14,0612187080356+20,7471654398561i</v>
      </c>
      <c r="BJ192" s="20">
        <f t="shared" si="200"/>
        <v>27.98072175979533</v>
      </c>
      <c r="BK192" s="43">
        <f t="shared" si="204"/>
        <v>55.872870257792634</v>
      </c>
      <c r="BL192">
        <f t="shared" si="201"/>
        <v>17.973847117222821</v>
      </c>
      <c r="BM192" s="43">
        <f t="shared" si="202"/>
        <v>55.186209500545026</v>
      </c>
    </row>
    <row r="193" spans="14:65" x14ac:dyDescent="0.25">
      <c r="N193" s="9">
        <v>75</v>
      </c>
      <c r="O193" s="34">
        <f t="shared" si="205"/>
        <v>562.34132519034927</v>
      </c>
      <c r="P193" s="33" t="str">
        <f t="shared" si="155"/>
        <v>54,631621870174</v>
      </c>
      <c r="Q193" s="4" t="str">
        <f t="shared" si="156"/>
        <v>1+14,0823883942978i</v>
      </c>
      <c r="R193" s="4">
        <f t="shared" si="168"/>
        <v>14.117849088577673</v>
      </c>
      <c r="S193" s="4">
        <f t="shared" si="169"/>
        <v>1.4999046427832394</v>
      </c>
      <c r="T193" s="4" t="str">
        <f t="shared" si="157"/>
        <v>1+0,176664737602795i</v>
      </c>
      <c r="U193" s="4">
        <f t="shared" si="170"/>
        <v>1.0154853172312559</v>
      </c>
      <c r="V193" s="4">
        <f t="shared" si="171"/>
        <v>0.17486047854606765</v>
      </c>
      <c r="W193" t="str">
        <f t="shared" si="158"/>
        <v>1-0,0140601770505365i</v>
      </c>
      <c r="X193" s="4">
        <f t="shared" si="172"/>
        <v>1.0000988394047323</v>
      </c>
      <c r="Y193" s="4">
        <f t="shared" si="173"/>
        <v>-1.4059250648278411E-2</v>
      </c>
      <c r="Z193" t="str">
        <f t="shared" si="159"/>
        <v>0,999998735088936+0,00193175460743243i</v>
      </c>
      <c r="AA193" s="4">
        <f t="shared" si="174"/>
        <v>1.0000006009274871</v>
      </c>
      <c r="AB193" s="4">
        <f t="shared" si="175"/>
        <v>1.9317546480355444E-3</v>
      </c>
      <c r="AC193" s="47" t="str">
        <f t="shared" si="176"/>
        <v>0,895036304296848-3,82671681294291i</v>
      </c>
      <c r="AD193" s="20">
        <f t="shared" si="177"/>
        <v>11.887837384546751</v>
      </c>
      <c r="AE193" s="43">
        <f t="shared" si="178"/>
        <v>-76.835655392879559</v>
      </c>
      <c r="AF193" t="str">
        <f t="shared" si="160"/>
        <v>171,265703090588</v>
      </c>
      <c r="AG193" t="str">
        <f t="shared" si="161"/>
        <v>1+13,9476196918179i</v>
      </c>
      <c r="AH193">
        <f t="shared" si="179"/>
        <v>13.983422151518793</v>
      </c>
      <c r="AI193">
        <f t="shared" si="180"/>
        <v>1.4992219786645069</v>
      </c>
      <c r="AJ193" t="str">
        <f t="shared" si="162"/>
        <v>1+0,176664737602795i</v>
      </c>
      <c r="AK193">
        <f t="shared" si="181"/>
        <v>1.0154853172312559</v>
      </c>
      <c r="AL193">
        <f t="shared" si="182"/>
        <v>0.17486047854606765</v>
      </c>
      <c r="AM193" t="str">
        <f t="shared" si="163"/>
        <v>1-0,0044420956428135i</v>
      </c>
      <c r="AN193">
        <f t="shared" si="183"/>
        <v>1.0000098660581804</v>
      </c>
      <c r="AO193">
        <f t="shared" si="184"/>
        <v>-4.4420664256992438E-3</v>
      </c>
      <c r="AP193" s="41" t="str">
        <f t="shared" si="185"/>
        <v>2,98050726118487-12,0751499043136i</v>
      </c>
      <c r="AQ193">
        <f t="shared" si="186"/>
        <v>21.894697319361605</v>
      </c>
      <c r="AR193" s="43">
        <f t="shared" si="187"/>
        <v>-76.134836164910396</v>
      </c>
      <c r="AS193" t="str">
        <f t="shared" si="164"/>
        <v>-0,0000166666666666667</v>
      </c>
      <c r="AT193" t="str">
        <f t="shared" si="165"/>
        <v>0,0000117093388083133i</v>
      </c>
      <c r="AU193">
        <f t="shared" si="188"/>
        <v>1.17093388083133E-5</v>
      </c>
      <c r="AV193">
        <f t="shared" si="189"/>
        <v>1.5707963267948966</v>
      </c>
      <c r="AW193" t="str">
        <f t="shared" si="166"/>
        <v>1+0,00394057254182215i</v>
      </c>
      <c r="AX193">
        <f t="shared" si="190"/>
        <v>1.0000077640258387</v>
      </c>
      <c r="AY193">
        <f t="shared" si="191"/>
        <v>3.9405521454616453E-3</v>
      </c>
      <c r="AZ193" t="str">
        <f t="shared" si="167"/>
        <v>1+0,932789814542757i</v>
      </c>
      <c r="BA193">
        <f t="shared" si="192"/>
        <v>1.3675148401807971</v>
      </c>
      <c r="BB193">
        <f t="shared" si="193"/>
        <v>0.75063850446821567</v>
      </c>
      <c r="BC193" s="41" t="str">
        <f t="shared" si="194"/>
        <v>-1,32207126032091+1,42857502803784i</v>
      </c>
      <c r="BD193">
        <f t="shared" si="195"/>
        <v>5.7849010656106072</v>
      </c>
      <c r="BE193" s="43">
        <f t="shared" si="196"/>
        <v>132.78264123915457</v>
      </c>
      <c r="BF193" s="41" t="str">
        <f t="shared" si="197"/>
        <v>4,28345030348809+6,3378188332844i</v>
      </c>
      <c r="BG193" s="20">
        <f t="shared" si="198"/>
        <v>17.672738450157357</v>
      </c>
      <c r="BH193" s="43">
        <f t="shared" si="199"/>
        <v>55.946985846274998</v>
      </c>
      <c r="BI193" s="41" t="str">
        <f t="shared" si="203"/>
        <v>13,3098146219256+20,222086896774i</v>
      </c>
      <c r="BJ193" s="20">
        <f t="shared" si="200"/>
        <v>27.679598384972223</v>
      </c>
      <c r="BK193" s="43">
        <f t="shared" si="204"/>
        <v>56.647805074244268</v>
      </c>
      <c r="BL193">
        <f t="shared" si="201"/>
        <v>17.672738450157357</v>
      </c>
      <c r="BM193" s="43">
        <f t="shared" si="202"/>
        <v>55.946985846274998</v>
      </c>
    </row>
    <row r="194" spans="14:65" x14ac:dyDescent="0.25">
      <c r="N194" s="9">
        <v>76</v>
      </c>
      <c r="O194" s="34">
        <f t="shared" si="205"/>
        <v>575.43993733715706</v>
      </c>
      <c r="P194" s="33" t="str">
        <f t="shared" si="155"/>
        <v>54,631621870174</v>
      </c>
      <c r="Q194" s="4" t="str">
        <f t="shared" si="156"/>
        <v>1+14,4104093584608i</v>
      </c>
      <c r="R194" s="4">
        <f t="shared" si="168"/>
        <v>14.445064827767807</v>
      </c>
      <c r="S194" s="4">
        <f t="shared" si="169"/>
        <v>1.5015131157181019</v>
      </c>
      <c r="T194" s="4" t="str">
        <f t="shared" si="157"/>
        <v>1+0,180779787972058i</v>
      </c>
      <c r="U194" s="4">
        <f t="shared" si="170"/>
        <v>1.0162092952434663</v>
      </c>
      <c r="V194" s="4">
        <f t="shared" si="171"/>
        <v>0.17884815115325939</v>
      </c>
      <c r="W194" t="str">
        <f t="shared" si="158"/>
        <v>1-0,0143876806460407i</v>
      </c>
      <c r="X194" s="4">
        <f t="shared" si="172"/>
        <v>1.0001034973213385</v>
      </c>
      <c r="Y194" s="4">
        <f t="shared" si="173"/>
        <v>-1.4386687993684819E-2</v>
      </c>
      <c r="Z194" t="str">
        <f t="shared" si="159"/>
        <v>0,999998675475514+0,00197675095259167i</v>
      </c>
      <c r="AA194" s="4">
        <f t="shared" si="174"/>
        <v>1.0000006292483574</v>
      </c>
      <c r="AB194" s="4">
        <f t="shared" si="175"/>
        <v>1.9767509960986578E-3</v>
      </c>
      <c r="AC194" s="47" t="str">
        <f t="shared" si="176"/>
        <v>0,882898252774406-3,74095189966078i</v>
      </c>
      <c r="AD194" s="20">
        <f t="shared" si="177"/>
        <v>11.695048686244721</v>
      </c>
      <c r="AE194" s="43">
        <f t="shared" si="178"/>
        <v>-76.720676171820443</v>
      </c>
      <c r="AF194" t="str">
        <f t="shared" si="160"/>
        <v>171,265703090588</v>
      </c>
      <c r="AG194" t="str">
        <f t="shared" si="161"/>
        <v>1+14,2725014896343i</v>
      </c>
      <c r="AH194">
        <f t="shared" si="179"/>
        <v>14.30749100197562</v>
      </c>
      <c r="AI194">
        <f t="shared" si="180"/>
        <v>1.50084583879956</v>
      </c>
      <c r="AJ194" t="str">
        <f t="shared" si="162"/>
        <v>1+0,180779787972058i</v>
      </c>
      <c r="AK194">
        <f t="shared" si="181"/>
        <v>1.0162092952434663</v>
      </c>
      <c r="AL194">
        <f t="shared" si="182"/>
        <v>0.17884815115325939</v>
      </c>
      <c r="AM194" t="str">
        <f t="shared" si="163"/>
        <v>1-0,00454556534233193i</v>
      </c>
      <c r="AN194">
        <f t="shared" si="183"/>
        <v>1.0000103310287756</v>
      </c>
      <c r="AO194">
        <f t="shared" si="184"/>
        <v>-4.545534035647429E-3</v>
      </c>
      <c r="AP194" s="41" t="str">
        <f t="shared" si="185"/>
        <v>2,94176339021835-11,8034443217398i</v>
      </c>
      <c r="AQ194">
        <f t="shared" si="186"/>
        <v>21.701891401918306</v>
      </c>
      <c r="AR194" s="43">
        <f t="shared" si="187"/>
        <v>-76.005327944062799</v>
      </c>
      <c r="AS194" t="str">
        <f t="shared" si="164"/>
        <v>-0,0000166666666666667</v>
      </c>
      <c r="AT194" t="str">
        <f t="shared" si="165"/>
        <v>0,000011982084346788i</v>
      </c>
      <c r="AU194">
        <f t="shared" si="188"/>
        <v>1.1982084346788E-5</v>
      </c>
      <c r="AV194">
        <f t="shared" si="189"/>
        <v>1.5707963267948966</v>
      </c>
      <c r="AW194" t="str">
        <f t="shared" si="166"/>
        <v>1+0,00403236026762057i</v>
      </c>
      <c r="AX194">
        <f t="shared" si="190"/>
        <v>1.0000081299316161</v>
      </c>
      <c r="AY194">
        <f t="shared" si="191"/>
        <v>4.0323384125361284E-3</v>
      </c>
      <c r="AZ194" t="str">
        <f t="shared" si="167"/>
        <v>1+0,954517280492468i</v>
      </c>
      <c r="BA194">
        <f t="shared" si="192"/>
        <v>1.3824265762631796</v>
      </c>
      <c r="BB194">
        <f t="shared" si="193"/>
        <v>0.76213179849667878</v>
      </c>
      <c r="BC194" s="41" t="str">
        <f t="shared" si="194"/>
        <v>-1,32207029282194+1,39629662399264i</v>
      </c>
      <c r="BD194">
        <f t="shared" si="195"/>
        <v>5.6790984130487008</v>
      </c>
      <c r="BE194" s="43">
        <f t="shared" si="196"/>
        <v>133.43589951396791</v>
      </c>
      <c r="BF194" s="41" t="str">
        <f t="shared" si="197"/>
        <v>4,05622495643776+6,17858922309522i</v>
      </c>
      <c r="BG194" s="20">
        <f t="shared" si="198"/>
        <v>17.374147099293417</v>
      </c>
      <c r="BH194" s="43">
        <f t="shared" si="199"/>
        <v>56.715223342147446</v>
      </c>
      <c r="BI194" s="41" t="str">
        <f t="shared" si="203"/>
        <v>12,5918914712115+19,712557381097i</v>
      </c>
      <c r="BJ194" s="20">
        <f t="shared" si="200"/>
        <v>27.380989814966988</v>
      </c>
      <c r="BK194" s="43">
        <f t="shared" si="204"/>
        <v>57.43057156990514</v>
      </c>
      <c r="BL194">
        <f t="shared" si="201"/>
        <v>17.374147099293417</v>
      </c>
      <c r="BM194" s="43">
        <f t="shared" si="202"/>
        <v>56.715223342147446</v>
      </c>
    </row>
    <row r="195" spans="14:65" x14ac:dyDescent="0.25">
      <c r="N195" s="9">
        <v>77</v>
      </c>
      <c r="O195" s="34">
        <f t="shared" si="205"/>
        <v>588.84365535558959</v>
      </c>
      <c r="P195" s="33" t="str">
        <f t="shared" si="155"/>
        <v>54,631621870174</v>
      </c>
      <c r="Q195" s="4" t="str">
        <f t="shared" si="156"/>
        <v>1+14,7460709124099i</v>
      </c>
      <c r="R195" s="4">
        <f t="shared" si="168"/>
        <v>14.779939355552896</v>
      </c>
      <c r="S195" s="4">
        <f t="shared" si="169"/>
        <v>1.5030853223808112</v>
      </c>
      <c r="T195" s="4" t="str">
        <f t="shared" si="157"/>
        <v>1+0,184990690177808i</v>
      </c>
      <c r="U195" s="4">
        <f t="shared" si="170"/>
        <v>1.0169668408814823</v>
      </c>
      <c r="V195" s="4">
        <f t="shared" si="171"/>
        <v>0.18292276448214498</v>
      </c>
      <c r="W195" t="str">
        <f t="shared" si="158"/>
        <v>1-0,0147228127802668i</v>
      </c>
      <c r="X195" s="4">
        <f t="shared" si="172"/>
        <v>1.0001083747355397</v>
      </c>
      <c r="Y195" s="4">
        <f t="shared" si="173"/>
        <v>-1.4721749140329043E-2</v>
      </c>
      <c r="Z195" t="str">
        <f t="shared" si="159"/>
        <v>0,999998613052598+0,00202279539727136i</v>
      </c>
      <c r="AA195" s="4">
        <f t="shared" si="174"/>
        <v>1.0000006589039523</v>
      </c>
      <c r="AB195" s="4">
        <f t="shared" si="175"/>
        <v>2.0227954438899014E-3</v>
      </c>
      <c r="AC195" s="47" t="str">
        <f t="shared" si="176"/>
        <v>0,871301296844715-3,65709500095754i</v>
      </c>
      <c r="AD195" s="20">
        <f t="shared" si="177"/>
        <v>11.502500242489464</v>
      </c>
      <c r="AE195" s="43">
        <f t="shared" si="178"/>
        <v>-76.599134573333117</v>
      </c>
      <c r="AF195" t="str">
        <f t="shared" si="160"/>
        <v>171,265703090588</v>
      </c>
      <c r="AG195" t="str">
        <f t="shared" si="161"/>
        <v>1+14,6049507566594i</v>
      </c>
      <c r="AH195">
        <f t="shared" si="179"/>
        <v>14.63914569243868</v>
      </c>
      <c r="AI195">
        <f t="shared" si="180"/>
        <v>1.5024330924978868</v>
      </c>
      <c r="AJ195" t="str">
        <f t="shared" si="162"/>
        <v>1+0,184990690177808i</v>
      </c>
      <c r="AK195">
        <f t="shared" si="181"/>
        <v>1.0169668408814823</v>
      </c>
      <c r="AL195">
        <f t="shared" si="182"/>
        <v>0.18292276448214498</v>
      </c>
      <c r="AM195" t="str">
        <f t="shared" si="163"/>
        <v>1-0,00465144516076253i</v>
      </c>
      <c r="AN195">
        <f t="shared" si="183"/>
        <v>1.0000108179125282</v>
      </c>
      <c r="AO195">
        <f t="shared" si="184"/>
        <v>-4.6514116150653036E-3</v>
      </c>
      <c r="AP195" s="41" t="str">
        <f t="shared" si="185"/>
        <v>2,90474662354071-11,5377538047147i</v>
      </c>
      <c r="AQ195">
        <f t="shared" si="186"/>
        <v>21.509323189976122</v>
      </c>
      <c r="AR195" s="43">
        <f t="shared" si="187"/>
        <v>-75.868879073546324</v>
      </c>
      <c r="AS195" t="str">
        <f t="shared" si="164"/>
        <v>-0,0000166666666666667</v>
      </c>
      <c r="AT195" t="str">
        <f t="shared" si="165"/>
        <v>0,0000122611829449851i</v>
      </c>
      <c r="AU195">
        <f t="shared" si="188"/>
        <v>1.2261182944985101E-5</v>
      </c>
      <c r="AV195">
        <f t="shared" si="189"/>
        <v>1.5707963267948966</v>
      </c>
      <c r="AW195" t="str">
        <f t="shared" si="166"/>
        <v>1+0,00412628600420747i</v>
      </c>
      <c r="AX195">
        <f t="shared" si="190"/>
        <v>1.0000085130818579</v>
      </c>
      <c r="AY195">
        <f t="shared" si="191"/>
        <v>4.1262625860733404E-3</v>
      </c>
      <c r="AZ195" t="str">
        <f t="shared" si="167"/>
        <v>1+0,976750844138826i</v>
      </c>
      <c r="BA195">
        <f t="shared" si="192"/>
        <v>1.3978705989918769</v>
      </c>
      <c r="BB195">
        <f t="shared" si="193"/>
        <v>0.77363740760216437</v>
      </c>
      <c r="BC195" s="41" t="str">
        <f t="shared" si="194"/>
        <v>-1,32206927972765+1,36475855453183i</v>
      </c>
      <c r="BD195">
        <f t="shared" si="195"/>
        <v>5.5755930119388299</v>
      </c>
      <c r="BE195" s="43">
        <f t="shared" si="196"/>
        <v>134.08974089770146</v>
      </c>
      <c r="BF195" s="41" t="str">
        <f t="shared" si="197"/>
        <v>3,83913100934713+6,02404885225503i</v>
      </c>
      <c r="BG195" s="20">
        <f t="shared" si="198"/>
        <v>17.078093254428296</v>
      </c>
      <c r="BH195" s="43">
        <f t="shared" si="199"/>
        <v>57.490606324368379</v>
      </c>
      <c r="BI195" s="41" t="str">
        <f t="shared" si="203"/>
        <v>11,9059719286908+19,2179876654988i</v>
      </c>
      <c r="BJ195" s="20">
        <f t="shared" si="200"/>
        <v>27.084916201914972</v>
      </c>
      <c r="BK195" s="43">
        <f t="shared" si="204"/>
        <v>58.220861824155115</v>
      </c>
      <c r="BL195">
        <f t="shared" si="201"/>
        <v>17.078093254428296</v>
      </c>
      <c r="BM195" s="43">
        <f t="shared" si="202"/>
        <v>57.490606324368379</v>
      </c>
    </row>
    <row r="196" spans="14:65" x14ac:dyDescent="0.25">
      <c r="N196" s="9">
        <v>78</v>
      </c>
      <c r="O196" s="34">
        <f t="shared" si="205"/>
        <v>602.55958607435832</v>
      </c>
      <c r="P196" s="33" t="str">
        <f t="shared" si="155"/>
        <v>54,631621870174</v>
      </c>
      <c r="Q196" s="4" t="str">
        <f t="shared" si="156"/>
        <v>1+15,0895510283441i</v>
      </c>
      <c r="R196" s="4">
        <f t="shared" si="168"/>
        <v>15.122650238532943</v>
      </c>
      <c r="S196" s="4">
        <f t="shared" si="169"/>
        <v>1.5046220652688056</v>
      </c>
      <c r="T196" s="4" t="str">
        <f t="shared" si="157"/>
        <v>1+0,189299676896131i</v>
      </c>
      <c r="U196" s="4">
        <f t="shared" si="170"/>
        <v>1.0177594841970177</v>
      </c>
      <c r="V196" s="4">
        <f t="shared" si="171"/>
        <v>0.18708593749140526</v>
      </c>
      <c r="W196" t="str">
        <f t="shared" si="158"/>
        <v>1-0,0150657511447086i</v>
      </c>
      <c r="X196" s="4">
        <f t="shared" si="172"/>
        <v>1.0001134819896962</v>
      </c>
      <c r="Y196" s="4">
        <f t="shared" si="173"/>
        <v>-1.5064611440965891E-2</v>
      </c>
      <c r="Z196" t="str">
        <f t="shared" si="159"/>
        <v>0,999998547687781+0,00206991235484554i</v>
      </c>
      <c r="AA196" s="4">
        <f t="shared" si="174"/>
        <v>1.0000006899571761</v>
      </c>
      <c r="AB196" s="4">
        <f t="shared" si="175"/>
        <v>2.0699124047981652E-3</v>
      </c>
      <c r="AC196" s="47" t="str">
        <f t="shared" si="176"/>
        <v>0,8602215264743-3,57510664761613i</v>
      </c>
      <c r="AD196" s="20">
        <f t="shared" si="177"/>
        <v>11.310206525882256</v>
      </c>
      <c r="AE196" s="43">
        <f t="shared" si="178"/>
        <v>-76.470995377982732</v>
      </c>
      <c r="AF196" t="str">
        <f t="shared" si="160"/>
        <v>171,265703090588</v>
      </c>
      <c r="AG196" t="str">
        <f t="shared" si="161"/>
        <v>1+14,945143761895i</v>
      </c>
      <c r="AH196">
        <f t="shared" si="179"/>
        <v>14.978562082646954</v>
      </c>
      <c r="AI196">
        <f t="shared" si="180"/>
        <v>1.5039845493333426</v>
      </c>
      <c r="AJ196" t="str">
        <f t="shared" si="162"/>
        <v>1+0,189299676896131i</v>
      </c>
      <c r="AK196">
        <f t="shared" si="181"/>
        <v>1.0177594841970177</v>
      </c>
      <c r="AL196">
        <f t="shared" si="182"/>
        <v>0.18708593749140526</v>
      </c>
      <c r="AM196" t="str">
        <f t="shared" si="163"/>
        <v>1-0,00475979123698652i</v>
      </c>
      <c r="AN196">
        <f t="shared" si="183"/>
        <v>1.000011327742151</v>
      </c>
      <c r="AO196">
        <f t="shared" si="184"/>
        <v>-4.7597552921463246E-3</v>
      </c>
      <c r="AP196" s="41" t="str">
        <f t="shared" si="185"/>
        <v>2,86938068427132-11,2779535683694i</v>
      </c>
      <c r="AQ196">
        <f t="shared" si="186"/>
        <v>21.317007113176395</v>
      </c>
      <c r="AR196" s="43">
        <f t="shared" si="187"/>
        <v>-75.725446394934892</v>
      </c>
      <c r="AS196" t="str">
        <f t="shared" si="164"/>
        <v>-0,0000166666666666667</v>
      </c>
      <c r="AT196" t="str">
        <f t="shared" si="165"/>
        <v>0,0000125467825846756i</v>
      </c>
      <c r="AU196">
        <f t="shared" si="188"/>
        <v>1.25467825846756E-5</v>
      </c>
      <c r="AV196">
        <f t="shared" si="189"/>
        <v>1.5707963267948966</v>
      </c>
      <c r="AW196" t="str">
        <f t="shared" si="166"/>
        <v>1+0,00422239955225166i</v>
      </c>
      <c r="AX196">
        <f t="shared" si="190"/>
        <v>1.0000089142892572</v>
      </c>
      <c r="AY196">
        <f t="shared" si="191"/>
        <v>4.2223744592809285E-3</v>
      </c>
      <c r="AZ196" t="str">
        <f t="shared" si="167"/>
        <v>1+0,999502294011571i</v>
      </c>
      <c r="BA196">
        <f t="shared" si="192"/>
        <v>1.4138616748941153</v>
      </c>
      <c r="BB196">
        <f t="shared" si="193"/>
        <v>0.78514924846514711</v>
      </c>
      <c r="BC196" s="41" t="str">
        <f t="shared" si="194"/>
        <v>-1,32206821888936+1,33394409772722i</v>
      </c>
      <c r="BD196">
        <f t="shared" si="195"/>
        <v>5.4743885623961273</v>
      </c>
      <c r="BE196" s="43">
        <f t="shared" si="196"/>
        <v>134.7438139888807</v>
      </c>
      <c r="BF196" s="41" t="str">
        <f t="shared" si="197"/>
        <v>3,63172086997672+5,87402230593166i</v>
      </c>
      <c r="BG196" s="20">
        <f t="shared" si="198"/>
        <v>16.784595088278383</v>
      </c>
      <c r="BH196" s="43">
        <f t="shared" si="199"/>
        <v>58.272818610897978</v>
      </c>
      <c r="BI196" s="41" t="str">
        <f t="shared" si="203"/>
        <v>11,2506425863979+18,7378174147673i</v>
      </c>
      <c r="BJ196" s="20">
        <f t="shared" si="200"/>
        <v>26.791395675572542</v>
      </c>
      <c r="BK196" s="43">
        <f t="shared" si="204"/>
        <v>59.01836759394584</v>
      </c>
      <c r="BL196">
        <f t="shared" si="201"/>
        <v>16.784595088278383</v>
      </c>
      <c r="BM196" s="43">
        <f t="shared" si="202"/>
        <v>58.272818610897978</v>
      </c>
    </row>
    <row r="197" spans="14:65" x14ac:dyDescent="0.25">
      <c r="N197" s="9">
        <v>79</v>
      </c>
      <c r="O197" s="34">
        <f t="shared" si="205"/>
        <v>616.59500186148273</v>
      </c>
      <c r="P197" s="33" t="str">
        <f t="shared" si="155"/>
        <v>54,631621870174</v>
      </c>
      <c r="Q197" s="4" t="str">
        <f t="shared" si="156"/>
        <v>1+15,4410318239674i</v>
      </c>
      <c r="R197" s="4">
        <f t="shared" si="168"/>
        <v>15.473379197472477</v>
      </c>
      <c r="S197" s="4">
        <f t="shared" si="169"/>
        <v>1.5061241301340551</v>
      </c>
      <c r="T197" s="4" t="str">
        <f t="shared" si="157"/>
        <v>1+0,193709032808822i</v>
      </c>
      <c r="U197" s="4">
        <f t="shared" si="170"/>
        <v>1.0185888225342596</v>
      </c>
      <c r="V197" s="4">
        <f t="shared" si="171"/>
        <v>0.19133930001967892</v>
      </c>
      <c r="W197" t="str">
        <f t="shared" si="158"/>
        <v>1-0,0154166775698261i</v>
      </c>
      <c r="X197" s="4">
        <f t="shared" si="172"/>
        <v>1.0001188299133719</v>
      </c>
      <c r="Y197" s="4">
        <f t="shared" si="173"/>
        <v>-1.5415456363100068E-2</v>
      </c>
      <c r="Z197" t="str">
        <f t="shared" si="159"/>
        <v>0,999998479242415+0,0021181268073488i</v>
      </c>
      <c r="AA197" s="4">
        <f t="shared" si="174"/>
        <v>1.0000007224738963</v>
      </c>
      <c r="AB197" s="4">
        <f t="shared" si="175"/>
        <v>2.118126860873956E-3</v>
      </c>
      <c r="AC197" s="47" t="str">
        <f t="shared" si="176"/>
        <v>0,849636068585161-3,49494803282534i</v>
      </c>
      <c r="AD197" s="20">
        <f t="shared" si="177"/>
        <v>11.118182431635486</v>
      </c>
      <c r="AE197" s="43">
        <f t="shared" si="178"/>
        <v>-76.336222051853781</v>
      </c>
      <c r="AF197" t="str">
        <f t="shared" si="160"/>
        <v>171,265703090588</v>
      </c>
      <c r="AG197" t="str">
        <f t="shared" si="161"/>
        <v>1+15,2932608801756i</v>
      </c>
      <c r="AH197">
        <f t="shared" si="179"/>
        <v>15.325920146898502</v>
      </c>
      <c r="AI197">
        <f t="shared" si="180"/>
        <v>1.5055010020169943</v>
      </c>
      <c r="AJ197" t="str">
        <f t="shared" si="162"/>
        <v>1+0,193709032808822i</v>
      </c>
      <c r="AK197">
        <f t="shared" si="181"/>
        <v>1.0185888225342596</v>
      </c>
      <c r="AL197">
        <f t="shared" si="182"/>
        <v>0.19133930001967892</v>
      </c>
      <c r="AM197" t="str">
        <f t="shared" si="163"/>
        <v>1-0,00487066101752766i</v>
      </c>
      <c r="AN197">
        <f t="shared" si="183"/>
        <v>1.000011861599025</v>
      </c>
      <c r="AO197">
        <f t="shared" si="184"/>
        <v>-4.8706225019621409E-3</v>
      </c>
      <c r="AP197" s="41" t="str">
        <f t="shared" si="185"/>
        <v>2,83559260176303-11,02392089334i</v>
      </c>
      <c r="AQ197">
        <f t="shared" si="186"/>
        <v>21.124958018373601</v>
      </c>
      <c r="AR197" s="43">
        <f t="shared" si="187"/>
        <v>-75.574985235139039</v>
      </c>
      <c r="AS197" t="str">
        <f t="shared" si="164"/>
        <v>-0,0000166666666666667</v>
      </c>
      <c r="AT197" t="str">
        <f t="shared" si="165"/>
        <v>0,0000128390346945687i</v>
      </c>
      <c r="AU197">
        <f t="shared" si="188"/>
        <v>1.2839034694568701E-5</v>
      </c>
      <c r="AV197">
        <f t="shared" si="189"/>
        <v>1.5707963267948966</v>
      </c>
      <c r="AW197" t="str">
        <f t="shared" si="166"/>
        <v>1+0,00432075187242852i</v>
      </c>
      <c r="AX197">
        <f t="shared" si="190"/>
        <v>1.000009334404806</v>
      </c>
      <c r="AY197">
        <f t="shared" si="191"/>
        <v>4.32072498483951E-3</v>
      </c>
      <c r="AZ197" t="str">
        <f t="shared" si="167"/>
        <v>1+1,02278369323058i</v>
      </c>
      <c r="BA197">
        <f t="shared" si="192"/>
        <v>1.4304147940854028</v>
      </c>
      <c r="BB197">
        <f t="shared" si="193"/>
        <v>0.79666122127112216</v>
      </c>
      <c r="BC197" s="41" t="str">
        <f t="shared" si="194"/>
        <v>-1,32206710805714+1,30383691531776i</v>
      </c>
      <c r="BD197">
        <f t="shared" si="195"/>
        <v>5.3754863297057565</v>
      </c>
      <c r="BE197" s="43">
        <f t="shared" si="196"/>
        <v>135.39776637450515</v>
      </c>
      <c r="BF197" s="41" t="str">
        <f t="shared" si="197"/>
        <v>3,43356636221944+5,72834270937417i</v>
      </c>
      <c r="BG197" s="20">
        <f t="shared" si="198"/>
        <v>16.493668761341237</v>
      </c>
      <c r="BH197" s="43">
        <f t="shared" si="199"/>
        <v>59.061544322651372</v>
      </c>
      <c r="BI197" s="41" t="str">
        <f t="shared" si="203"/>
        <v>10,6245513016384+18,2715135258893i</v>
      </c>
      <c r="BJ197" s="20">
        <f t="shared" si="200"/>
        <v>26.500444348079377</v>
      </c>
      <c r="BK197" s="43">
        <f t="shared" si="204"/>
        <v>59.82278113936605</v>
      </c>
      <c r="BL197">
        <f t="shared" si="201"/>
        <v>16.493668761341237</v>
      </c>
      <c r="BM197" s="43">
        <f t="shared" si="202"/>
        <v>59.061544322651372</v>
      </c>
    </row>
    <row r="198" spans="14:65" x14ac:dyDescent="0.25">
      <c r="N198" s="9">
        <v>80</v>
      </c>
      <c r="O198" s="34">
        <f t="shared" si="205"/>
        <v>630.95734448019323</v>
      </c>
      <c r="P198" s="33" t="str">
        <f t="shared" si="155"/>
        <v>54,631621870174</v>
      </c>
      <c r="Q198" s="4" t="str">
        <f t="shared" si="156"/>
        <v>1+15,80069965905i</v>
      </c>
      <c r="R198" s="4">
        <f t="shared" si="168"/>
        <v>15.832312203702363</v>
      </c>
      <c r="S198" s="4">
        <f t="shared" si="169"/>
        <v>1.5075922862643072</v>
      </c>
      <c r="T198" s="4" t="str">
        <f t="shared" si="157"/>
        <v>1+0,19822109581475i</v>
      </c>
      <c r="U198" s="4">
        <f t="shared" si="170"/>
        <v>1.0194565232642343</v>
      </c>
      <c r="V198" s="4">
        <f t="shared" si="171"/>
        <v>0.19568449137434352</v>
      </c>
      <c r="W198" t="str">
        <f t="shared" si="158"/>
        <v>1-0,0157757781214549i</v>
      </c>
      <c r="X198" s="4">
        <f t="shared" si="172"/>
        <v>1.0001244298462753</v>
      </c>
      <c r="Y198" s="4">
        <f t="shared" si="173"/>
        <v>-1.5774469583664866E-2</v>
      </c>
      <c r="Z198" t="str">
        <f t="shared" si="159"/>
        <v>0,999998407571318+0,00216746431872203i</v>
      </c>
      <c r="AA198" s="4">
        <f t="shared" si="174"/>
        <v>1.0000007565230862</v>
      </c>
      <c r="AB198" s="4">
        <f t="shared" si="175"/>
        <v>2.1674643760752161E-3</v>
      </c>
      <c r="AC198" s="47" t="str">
        <f t="shared" si="176"/>
        <v>0,839523043754921-3,41658101298699i</v>
      </c>
      <c r="AD198" s="20">
        <f t="shared" si="177"/>
        <v>10.926443298183962</v>
      </c>
      <c r="AE198" s="43">
        <f t="shared" si="178"/>
        <v>-76.194776849704951</v>
      </c>
      <c r="AF198" t="str">
        <f t="shared" si="160"/>
        <v>171,265703090588</v>
      </c>
      <c r="AG198" t="str">
        <f t="shared" si="161"/>
        <v>1+15,6494866878051i</v>
      </c>
      <c r="AH198">
        <f t="shared" si="179"/>
        <v>15.681404069527352</v>
      </c>
      <c r="AI198">
        <f t="shared" si="180"/>
        <v>1.5069832266781957</v>
      </c>
      <c r="AJ198" t="str">
        <f t="shared" si="162"/>
        <v>1+0,19822109581475i</v>
      </c>
      <c r="AK198">
        <f t="shared" si="181"/>
        <v>1.0194565232642343</v>
      </c>
      <c r="AL198">
        <f t="shared" si="182"/>
        <v>0.19568449137434352</v>
      </c>
      <c r="AM198" t="str">
        <f t="shared" si="163"/>
        <v>1-0,00498411328701109i</v>
      </c>
      <c r="AN198">
        <f t="shared" si="183"/>
        <v>1.000012420615493</v>
      </c>
      <c r="AO198">
        <f t="shared" si="184"/>
        <v>-4.9840720168667692E-3</v>
      </c>
      <c r="AP198" s="41" t="str">
        <f t="shared" si="185"/>
        <v>2,80331257378878-10,7755351295472i</v>
      </c>
      <c r="AQ198">
        <f t="shared" si="186"/>
        <v>20.933191190136625</v>
      </c>
      <c r="AR198" s="43">
        <f t="shared" si="187"/>
        <v>-75.417449505108863</v>
      </c>
      <c r="AS198" t="str">
        <f t="shared" si="164"/>
        <v>-0,0000166666666666667</v>
      </c>
      <c r="AT198" t="str">
        <f t="shared" si="165"/>
        <v>0,0000131380942306016i</v>
      </c>
      <c r="AU198">
        <f t="shared" si="188"/>
        <v>1.31380942306016E-5</v>
      </c>
      <c r="AV198">
        <f t="shared" si="189"/>
        <v>1.5707963267948966</v>
      </c>
      <c r="AW198" t="str">
        <f t="shared" si="166"/>
        <v>1+0,00442139511244005i</v>
      </c>
      <c r="AX198">
        <f t="shared" si="190"/>
        <v>1.0000097743196015</v>
      </c>
      <c r="AY198">
        <f t="shared" si="191"/>
        <v>4.4213663018845637E-3</v>
      </c>
      <c r="AZ198" t="str">
        <f t="shared" si="167"/>
        <v>1+1,04660738590188i</v>
      </c>
      <c r="BA198">
        <f t="shared" si="192"/>
        <v>1.4475451703571696</v>
      </c>
      <c r="BB198">
        <f t="shared" si="193"/>
        <v>0.80816722585610579</v>
      </c>
      <c r="BC198" s="41" t="str">
        <f t="shared" si="194"/>
        <v>-1,322065944875+1,27442104404661i</v>
      </c>
      <c r="BD198">
        <f t="shared" si="195"/>
        <v>5.2788851389173255</v>
      </c>
      <c r="BE198" s="43">
        <f t="shared" si="196"/>
        <v>136.05124555357156</v>
      </c>
      <c r="BF198" s="41" t="str">
        <f t="shared" si="197"/>
        <v>3,24425791555452+5,58685123909996i</v>
      </c>
      <c r="BG198" s="20">
        <f t="shared" si="198"/>
        <v>16.205328437101283</v>
      </c>
      <c r="BH198" s="43">
        <f t="shared" si="199"/>
        <v>59.856468703866589</v>
      </c>
      <c r="BI198" s="41" t="str">
        <f t="shared" si="203"/>
        <v>10,0264046433124+17,8185685696555i</v>
      </c>
      <c r="BJ198" s="20">
        <f t="shared" si="200"/>
        <v>26.212076329053957</v>
      </c>
      <c r="BK198" s="43">
        <f t="shared" si="204"/>
        <v>60.633796048462841</v>
      </c>
      <c r="BL198">
        <f t="shared" si="201"/>
        <v>16.205328437101283</v>
      </c>
      <c r="BM198" s="43">
        <f t="shared" si="202"/>
        <v>59.856468703866589</v>
      </c>
    </row>
    <row r="199" spans="14:65" x14ac:dyDescent="0.25">
      <c r="N199" s="9">
        <v>81</v>
      </c>
      <c r="O199" s="34">
        <f t="shared" si="205"/>
        <v>645.65422903465594</v>
      </c>
      <c r="P199" s="33" t="str">
        <f t="shared" si="155"/>
        <v>54,631621870174</v>
      </c>
      <c r="Q199" s="4" t="str">
        <f t="shared" si="156"/>
        <v>1+16,1687452342387i</v>
      </c>
      <c r="R199" s="4">
        <f t="shared" si="168"/>
        <v>16.19963957777199</v>
      </c>
      <c r="S199" s="4">
        <f t="shared" si="169"/>
        <v>1.5090272867644261</v>
      </c>
      <c r="T199" s="4" t="str">
        <f t="shared" si="157"/>
        <v>1+0,202838258269446i</v>
      </c>
      <c r="U199" s="4">
        <f t="shared" si="170"/>
        <v>1.0203643266097568</v>
      </c>
      <c r="V199" s="4">
        <f t="shared" si="171"/>
        <v>0.20012315879670928</v>
      </c>
      <c r="W199" t="str">
        <f t="shared" si="158"/>
        <v>1-0,0161432431994608i</v>
      </c>
      <c r="X199" s="4">
        <f t="shared" si="172"/>
        <v>1.0001302936622793</v>
      </c>
      <c r="Y199" s="4">
        <f t="shared" si="173"/>
        <v>-1.614184108582244E-2</v>
      </c>
      <c r="Z199" t="str">
        <f t="shared" si="159"/>
        <v>0,999998332522466+0,00221795104836683i</v>
      </c>
      <c r="AA199" s="4">
        <f t="shared" si="174"/>
        <v>1.0000007921769689</v>
      </c>
      <c r="AB199" s="4">
        <f t="shared" si="175"/>
        <v>2.2179511098218193E-3</v>
      </c>
      <c r="AC199" s="47" t="str">
        <f t="shared" si="176"/>
        <v>0,829861524574336-3,33996810750449i</v>
      </c>
      <c r="AD199" s="20">
        <f t="shared" si="177"/>
        <v>10.735004927829603</v>
      </c>
      <c r="AE199" s="43">
        <f t="shared" si="178"/>
        <v>-76.046620925349188</v>
      </c>
      <c r="AF199" t="str">
        <f t="shared" si="160"/>
        <v>171,265703090588</v>
      </c>
      <c r="AG199" t="str">
        <f t="shared" si="161"/>
        <v>1+16,0140100604219i</v>
      </c>
      <c r="AH199">
        <f t="shared" si="179"/>
        <v>16.045202342609883</v>
      </c>
      <c r="AI199">
        <f t="shared" si="180"/>
        <v>1.5084319831459394</v>
      </c>
      <c r="AJ199" t="str">
        <f t="shared" si="162"/>
        <v>1+0,202838258269446i</v>
      </c>
      <c r="AK199">
        <f t="shared" si="181"/>
        <v>1.0203643266097568</v>
      </c>
      <c r="AL199">
        <f t="shared" si="182"/>
        <v>0.20012315879670928</v>
      </c>
      <c r="AM199" t="str">
        <f t="shared" si="163"/>
        <v>1-0,00510020819933184i</v>
      </c>
      <c r="AN199">
        <f t="shared" si="183"/>
        <v>1.0000130059772605</v>
      </c>
      <c r="AO199">
        <f t="shared" si="184"/>
        <v>-5.1001639776065335E-3</v>
      </c>
      <c r="AP199" s="41" t="str">
        <f t="shared" si="185"/>
        <v>2,77247383398449-10,5326776966642i</v>
      </c>
      <c r="AQ199">
        <f t="shared" si="186"/>
        <v>20.741722371271997</v>
      </c>
      <c r="AR199" s="43">
        <f t="shared" si="187"/>
        <v>-75.252791805674974</v>
      </c>
      <c r="AS199" t="str">
        <f t="shared" si="164"/>
        <v>-0,0000166666666666667</v>
      </c>
      <c r="AT199" t="str">
        <f t="shared" si="165"/>
        <v>0,0000134441197580989i</v>
      </c>
      <c r="AU199">
        <f t="shared" si="188"/>
        <v>1.34441197580989E-5</v>
      </c>
      <c r="AV199">
        <f t="shared" si="189"/>
        <v>1.5707963267948966</v>
      </c>
      <c r="AW199" t="str">
        <f t="shared" si="166"/>
        <v>1+0,00452438263466427i</v>
      </c>
      <c r="AX199">
        <f t="shared" si="190"/>
        <v>1.0000102349667352</v>
      </c>
      <c r="AY199">
        <f t="shared" si="191"/>
        <v>4.5243517636149363E-3</v>
      </c>
      <c r="AZ199" t="str">
        <f t="shared" si="167"/>
        <v>1+1,07098600366267i</v>
      </c>
      <c r="BA199">
        <f t="shared" si="192"/>
        <v>1.4652682416681719</v>
      </c>
      <c r="BB199">
        <f t="shared" si="193"/>
        <v>0.81966117785440673</v>
      </c>
      <c r="BC199" s="41" t="str">
        <f t="shared" si="194"/>
        <v>-1,32206472687596+1,24568088719709i</v>
      </c>
      <c r="BD199">
        <f t="shared" si="195"/>
        <v>5.1845813797719593</v>
      </c>
      <c r="BE199" s="43">
        <f t="shared" si="196"/>
        <v>136.70389986069185</v>
      </c>
      <c r="BF199" s="41" t="str">
        <f t="shared" si="197"/>
        <v>3,06340378553494+5,44939666400483i</v>
      </c>
      <c r="BG199" s="20">
        <f t="shared" si="198"/>
        <v>15.919586307601563</v>
      </c>
      <c r="BH199" s="43">
        <f t="shared" si="199"/>
        <v>60.657278935342688</v>
      </c>
      <c r="BI199" s="41" t="str">
        <f t="shared" si="203"/>
        <v>9,45496543564421+17,3784993275614i</v>
      </c>
      <c r="BJ199" s="20">
        <f t="shared" si="200"/>
        <v>25.92630375104396</v>
      </c>
      <c r="BK199" s="43">
        <f t="shared" si="204"/>
        <v>61.451108055016931</v>
      </c>
      <c r="BL199">
        <f t="shared" si="201"/>
        <v>15.919586307601563</v>
      </c>
      <c r="BM199" s="43">
        <f t="shared" si="202"/>
        <v>60.657278935342688</v>
      </c>
    </row>
    <row r="200" spans="14:65" x14ac:dyDescent="0.25">
      <c r="N200" s="9">
        <v>82</v>
      </c>
      <c r="O200" s="34">
        <f t="shared" si="205"/>
        <v>660.69344800759643</v>
      </c>
      <c r="P200" s="33" t="str">
        <f t="shared" si="155"/>
        <v>54,631621870174</v>
      </c>
      <c r="Q200" s="4" t="str">
        <f t="shared" si="156"/>
        <v>1+16,5453636921693i</v>
      </c>
      <c r="R200" s="4">
        <f t="shared" si="168"/>
        <v>16.575556090404753</v>
      </c>
      <c r="S200" s="4">
        <f t="shared" si="169"/>
        <v>1.5104298688374067</v>
      </c>
      <c r="T200" s="4" t="str">
        <f t="shared" si="157"/>
        <v>1+0,207562968253557i</v>
      </c>
      <c r="U200" s="4">
        <f t="shared" si="170"/>
        <v>1.0213140485620607</v>
      </c>
      <c r="V200" s="4">
        <f t="shared" si="171"/>
        <v>0.20465695579726473</v>
      </c>
      <c r="W200" t="str">
        <f t="shared" si="158"/>
        <v>1-0,0165192676386922i</v>
      </c>
      <c r="X200" s="4">
        <f t="shared" si="172"/>
        <v>1.0001364337945693</v>
      </c>
      <c r="Y200" s="4">
        <f t="shared" si="173"/>
        <v>-1.6517765257929411E-2</v>
      </c>
      <c r="Z200" t="str">
        <f t="shared" si="159"/>
        <v>0,999998253936671+0,00226961376501553i</v>
      </c>
      <c r="AA200" s="4">
        <f t="shared" si="174"/>
        <v>1.0000008295111724</v>
      </c>
      <c r="AB200" s="4">
        <f t="shared" si="175"/>
        <v>2.2696138308656712E-3</v>
      </c>
      <c r="AC200" s="47" t="str">
        <f t="shared" si="176"/>
        <v>0,820631495612243-3,26507249763797i</v>
      </c>
      <c r="AD200" s="20">
        <f t="shared" si="177"/>
        <v>10.543883607387698</v>
      </c>
      <c r="AE200" s="43">
        <f t="shared" si="178"/>
        <v>-75.891714449603526</v>
      </c>
      <c r="AF200" t="str">
        <f t="shared" si="160"/>
        <v>171,265703090588</v>
      </c>
      <c r="AG200" t="str">
        <f t="shared" si="161"/>
        <v>1+16,3870242731433i</v>
      </c>
      <c r="AH200">
        <f t="shared" si="179"/>
        <v>16.417507865951752</v>
      </c>
      <c r="AI200">
        <f t="shared" si="180"/>
        <v>1.5098480152300569</v>
      </c>
      <c r="AJ200" t="str">
        <f t="shared" si="162"/>
        <v>1+0,207562968253557i</v>
      </c>
      <c r="AK200">
        <f t="shared" si="181"/>
        <v>1.0213140485620607</v>
      </c>
      <c r="AL200">
        <f t="shared" si="182"/>
        <v>0.20465695579726473</v>
      </c>
      <c r="AM200" t="str">
        <f t="shared" si="163"/>
        <v>1-0,00521900730954912i</v>
      </c>
      <c r="AN200">
        <f t="shared" si="183"/>
        <v>1.000013618925911</v>
      </c>
      <c r="AO200">
        <f t="shared" si="184"/>
        <v>-5.2189599251515955E-3</v>
      </c>
      <c r="AP200" s="41" t="str">
        <f t="shared" si="185"/>
        <v>2,74301252439266-10,2952320815486i</v>
      </c>
      <c r="AQ200">
        <f t="shared" si="186"/>
        <v>20.55056778333801</v>
      </c>
      <c r="AR200" s="43">
        <f t="shared" si="187"/>
        <v>-75.080963540866662</v>
      </c>
      <c r="AS200" t="str">
        <f t="shared" si="164"/>
        <v>-0,0000166666666666667</v>
      </c>
      <c r="AT200" t="str">
        <f t="shared" si="165"/>
        <v>0,0000137572735358458i</v>
      </c>
      <c r="AU200">
        <f t="shared" si="188"/>
        <v>1.3757273535845799E-5</v>
      </c>
      <c r="AV200">
        <f t="shared" si="189"/>
        <v>1.5707963267948966</v>
      </c>
      <c r="AW200" t="str">
        <f t="shared" si="166"/>
        <v>1+0,00462976904444869i</v>
      </c>
      <c r="AX200">
        <f t="shared" si="190"/>
        <v>1.000010717323272</v>
      </c>
      <c r="AY200">
        <f t="shared" si="191"/>
        <v>4.629735965542503E-3</v>
      </c>
      <c r="AZ200" t="str">
        <f t="shared" si="167"/>
        <v>1+1,09593247237878i</v>
      </c>
      <c r="BA200">
        <f t="shared" si="192"/>
        <v>1.4835996710751405</v>
      </c>
      <c r="BB200">
        <f t="shared" si="193"/>
        <v>0.83113702474448681</v>
      </c>
      <c r="BC200" s="41" t="str">
        <f t="shared" si="194"/>
        <v>-1,32206345147681+1,21760120632297i</v>
      </c>
      <c r="BD200">
        <f t="shared" si="195"/>
        <v>5.0925690219167841</v>
      </c>
      <c r="BE200" s="43">
        <f t="shared" si="196"/>
        <v>137.35537938383371</v>
      </c>
      <c r="BF200" s="41" t="str">
        <f t="shared" si="197"/>
        <v>2,89062930437625+5,31583491455335i</v>
      </c>
      <c r="BG200" s="20">
        <f t="shared" si="198"/>
        <v>15.636452629304483</v>
      </c>
      <c r="BH200" s="43">
        <f t="shared" si="199"/>
        <v>61.46366493423016</v>
      </c>
      <c r="BI200" s="41" t="str">
        <f t="shared" si="203"/>
        <v>8,90905039642584+16,9508454181464i</v>
      </c>
      <c r="BJ200" s="20">
        <f t="shared" si="200"/>
        <v>25.643136805254777</v>
      </c>
      <c r="BK200" s="43">
        <f t="shared" si="204"/>
        <v>62.274415842966995</v>
      </c>
      <c r="BL200">
        <f t="shared" si="201"/>
        <v>15.636452629304483</v>
      </c>
      <c r="BM200" s="43">
        <f t="shared" si="202"/>
        <v>61.46366493423016</v>
      </c>
    </row>
    <row r="201" spans="14:65" x14ac:dyDescent="0.25">
      <c r="N201" s="9">
        <v>83</v>
      </c>
      <c r="O201" s="34">
        <f t="shared" si="205"/>
        <v>676.08297539198213</v>
      </c>
      <c r="P201" s="33" t="str">
        <f t="shared" si="155"/>
        <v>54,631621870174</v>
      </c>
      <c r="Q201" s="4" t="str">
        <f t="shared" si="156"/>
        <v>1+16,9307547209333i</v>
      </c>
      <c r="R201" s="4">
        <f t="shared" si="168"/>
        <v>16.960261065809256</v>
      </c>
      <c r="S201" s="4">
        <f t="shared" si="169"/>
        <v>1.5118007540646803</v>
      </c>
      <c r="T201" s="4" t="str">
        <f t="shared" si="157"/>
        <v>1+0,212397730870858i</v>
      </c>
      <c r="U201" s="4">
        <f t="shared" si="170"/>
        <v>1.0223075838900391</v>
      </c>
      <c r="V201" s="4">
        <f t="shared" si="171"/>
        <v>0.2092875403545498</v>
      </c>
      <c r="W201" t="str">
        <f t="shared" si="158"/>
        <v>1-0,016904050812284i</v>
      </c>
      <c r="X201" s="4">
        <f t="shared" si="172"/>
        <v>1.0001428632619762</v>
      </c>
      <c r="Y201" s="4">
        <f t="shared" si="173"/>
        <v>-1.6902440994712085E-2</v>
      </c>
      <c r="Z201" t="str">
        <f t="shared" si="159"/>
        <v>0,999998171647242+0,00232247986092433i</v>
      </c>
      <c r="AA201" s="4">
        <f t="shared" si="174"/>
        <v>1.0000008686048885</v>
      </c>
      <c r="AB201" s="4">
        <f t="shared" si="175"/>
        <v>2.3224799314839539E-3</v>
      </c>
      <c r="AC201" s="47" t="str">
        <f t="shared" si="176"/>
        <v>0,811813814938554-3,19185802450605i</v>
      </c>
      <c r="AD201" s="20">
        <f t="shared" si="177"/>
        <v>10.353096128799182</v>
      </c>
      <c r="AE201" s="43">
        <f t="shared" si="178"/>
        <v>-75.730016736155676</v>
      </c>
      <c r="AF201" t="str">
        <f t="shared" si="160"/>
        <v>171,265703090588</v>
      </c>
      <c r="AG201" t="str">
        <f t="shared" si="161"/>
        <v>1+16,7687271030421i</v>
      </c>
      <c r="AH201">
        <f t="shared" si="179"/>
        <v>16.798518049408365</v>
      </c>
      <c r="AI201">
        <f t="shared" si="180"/>
        <v>1.5112320510018613</v>
      </c>
      <c r="AJ201" t="str">
        <f t="shared" si="162"/>
        <v>1+0,212397730870858i</v>
      </c>
      <c r="AK201">
        <f t="shared" si="181"/>
        <v>1.0223075838900391</v>
      </c>
      <c r="AL201">
        <f t="shared" si="182"/>
        <v>0.2092875403545498</v>
      </c>
      <c r="AM201" t="str">
        <f t="shared" si="163"/>
        <v>1-0,00534057360652365i</v>
      </c>
      <c r="AN201">
        <f t="shared" si="183"/>
        <v>1.0000142607615388</v>
      </c>
      <c r="AO201">
        <f t="shared" si="184"/>
        <v>-5.3405228332660407E-3</v>
      </c>
      <c r="AP201" s="41" t="str">
        <f t="shared" si="185"/>
        <v>2,71486757295076-10,0630838328949i</v>
      </c>
      <c r="AQ201">
        <f t="shared" si="186"/>
        <v>20.359744147112885</v>
      </c>
      <c r="AR201" s="43">
        <f t="shared" si="187"/>
        <v>-74.901915039055666</v>
      </c>
      <c r="AS201" t="str">
        <f t="shared" si="164"/>
        <v>-0,0000166666666666667</v>
      </c>
      <c r="AT201" t="str">
        <f t="shared" si="165"/>
        <v>0,0000140777216021205i</v>
      </c>
      <c r="AU201">
        <f t="shared" si="188"/>
        <v>1.4077721602120501E-5</v>
      </c>
      <c r="AV201">
        <f t="shared" si="189"/>
        <v>1.5707963267948966</v>
      </c>
      <c r="AW201" t="str">
        <f t="shared" si="166"/>
        <v>1+0,00473761021906271i</v>
      </c>
      <c r="AX201">
        <f t="shared" si="190"/>
        <v>1.0000112224123225</v>
      </c>
      <c r="AY201">
        <f t="shared" si="191"/>
        <v>4.7375747743976177E-3</v>
      </c>
      <c r="AZ201" t="str">
        <f t="shared" si="167"/>
        <v>1+1,12146001899813i</v>
      </c>
      <c r="BA201">
        <f t="shared" si="192"/>
        <v>1.5025553481357303</v>
      </c>
      <c r="BB201">
        <f t="shared" si="193"/>
        <v>0.8425887616899842</v>
      </c>
      <c r="BC201" s="41" t="str">
        <f t="shared" si="194"/>
        <v>-1,32206211597259+1,19016711316858i</v>
      </c>
      <c r="BD201">
        <f t="shared" si="195"/>
        <v>5.0028396402698529</v>
      </c>
      <c r="BE201" s="43">
        <f t="shared" si="196"/>
        <v>138.00533687028968</v>
      </c>
      <c r="BF201" s="41" t="str">
        <f t="shared" si="197"/>
        <v>2,72557616071689+5,18602867831835i</v>
      </c>
      <c r="BG201" s="20">
        <f t="shared" si="198"/>
        <v>15.355935769069035</v>
      </c>
      <c r="BH201" s="43">
        <f t="shared" si="199"/>
        <v>62.275320134133992</v>
      </c>
      <c r="BI201" s="41" t="str">
        <f t="shared" si="203"/>
        <v>8,38752786688928+16,5351680072604i</v>
      </c>
      <c r="BJ201" s="20">
        <f t="shared" si="200"/>
        <v>25.362583787382743</v>
      </c>
      <c r="BK201" s="43">
        <f t="shared" si="204"/>
        <v>63.103421831234044</v>
      </c>
      <c r="BL201">
        <f t="shared" si="201"/>
        <v>15.355935769069035</v>
      </c>
      <c r="BM201" s="43">
        <f t="shared" si="202"/>
        <v>62.275320134133992</v>
      </c>
    </row>
    <row r="202" spans="14:65" x14ac:dyDescent="0.25">
      <c r="N202" s="9">
        <v>84</v>
      </c>
      <c r="O202" s="34">
        <f t="shared" si="205"/>
        <v>691.83097091893671</v>
      </c>
      <c r="P202" s="33" t="str">
        <f t="shared" si="155"/>
        <v>54,631621870174</v>
      </c>
      <c r="Q202" s="4" t="str">
        <f t="shared" si="156"/>
        <v>1+17,3251226599553i</v>
      </c>
      <c r="R202" s="4">
        <f t="shared" si="168"/>
        <v>17.353958487402714</v>
      </c>
      <c r="S202" s="4">
        <f t="shared" si="169"/>
        <v>1.5131406486853674</v>
      </c>
      <c r="T202" s="4" t="str">
        <f t="shared" si="157"/>
        <v>1+0,217345109576482i</v>
      </c>
      <c r="U202" s="4">
        <f t="shared" si="170"/>
        <v>1.0233469092428105</v>
      </c>
      <c r="V202" s="4">
        <f t="shared" si="171"/>
        <v>0.21401657297111712</v>
      </c>
      <c r="W202" t="str">
        <f t="shared" si="158"/>
        <v>1-0,017297796737368i</v>
      </c>
      <c r="X202" s="4">
        <f t="shared" si="172"/>
        <v>1.0001495956965474</v>
      </c>
      <c r="Y202" s="4">
        <f t="shared" si="173"/>
        <v>-1.7296071800696127E-2</v>
      </c>
      <c r="Z202" t="str">
        <f t="shared" si="159"/>
        <v>0,999998085479631+0,00237657736639705i</v>
      </c>
      <c r="AA202" s="4">
        <f t="shared" si="174"/>
        <v>1.0000009095410394</v>
      </c>
      <c r="AB202" s="4">
        <f t="shared" si="175"/>
        <v>2.3765774420029672E-3</v>
      </c>
      <c r="AC202" s="47" t="str">
        <f t="shared" si="176"/>
        <v>0,803390177155556-3,12028918630816i</v>
      </c>
      <c r="AD202" s="20">
        <f t="shared" si="177"/>
        <v>10.162659809665438</v>
      </c>
      <c r="AE202" s="43">
        <f t="shared" si="178"/>
        <v>-75.561486375708427</v>
      </c>
      <c r="AF202" t="str">
        <f t="shared" si="160"/>
        <v>171,265703090588</v>
      </c>
      <c r="AG202" t="str">
        <f t="shared" si="161"/>
        <v>1+17,1593209340113i</v>
      </c>
      <c r="AH202">
        <f t="shared" si="179"/>
        <v>17.188434917594986</v>
      </c>
      <c r="AI202">
        <f t="shared" si="180"/>
        <v>1.5125848030738844</v>
      </c>
      <c r="AJ202" t="str">
        <f t="shared" si="162"/>
        <v>1+0,217345109576482i</v>
      </c>
      <c r="AK202">
        <f t="shared" si="181"/>
        <v>1.0233469092428105</v>
      </c>
      <c r="AL202">
        <f t="shared" si="182"/>
        <v>0.21401657297111712</v>
      </c>
      <c r="AM202" t="str">
        <f t="shared" si="163"/>
        <v>1-0,0054649715463152i</v>
      </c>
      <c r="AN202">
        <f t="shared" si="183"/>
        <v>1.0000149328455061</v>
      </c>
      <c r="AO202">
        <f t="shared" si="184"/>
        <v>-5.4649171418333581E-3</v>
      </c>
      <c r="AP202" s="41" t="str">
        <f t="shared" si="185"/>
        <v>2,68798057576926-9,83612055334594i</v>
      </c>
      <c r="AQ202">
        <f t="shared" si="186"/>
        <v>20.16926870297339</v>
      </c>
      <c r="AR202" s="43">
        <f t="shared" si="187"/>
        <v>-74.71559568227751</v>
      </c>
      <c r="AS202" t="str">
        <f t="shared" si="164"/>
        <v>-0,0000166666666666667</v>
      </c>
      <c r="AT202" t="str">
        <f t="shared" si="165"/>
        <v>0,0000144056338627293i</v>
      </c>
      <c r="AU202">
        <f t="shared" si="188"/>
        <v>1.44056338627293E-5</v>
      </c>
      <c r="AV202">
        <f t="shared" si="189"/>
        <v>1.5707963267948966</v>
      </c>
      <c r="AW202" t="str">
        <f t="shared" si="166"/>
        <v>1+0,00484796333732456i</v>
      </c>
      <c r="AX202">
        <f t="shared" si="190"/>
        <v>1.0000117513052134</v>
      </c>
      <c r="AY202">
        <f t="shared" si="191"/>
        <v>4.8479253577057499E-3</v>
      </c>
      <c r="AZ202" t="str">
        <f t="shared" si="167"/>
        <v>1+1,14758217856383i</v>
      </c>
      <c r="BA202">
        <f t="shared" si="192"/>
        <v>1.5221513908141024</v>
      </c>
      <c r="BB202">
        <f t="shared" si="193"/>
        <v>0.85401044707541041</v>
      </c>
      <c r="BC202" s="41" t="str">
        <f t="shared" si="194"/>
        <v>-1,32206071753089+1,1633640617748i</v>
      </c>
      <c r="BD202">
        <f t="shared" si="195"/>
        <v>4.9153824503103287</v>
      </c>
      <c r="BE202" s="43">
        <f t="shared" si="196"/>
        <v>138.65342861511058</v>
      </c>
      <c r="BF202" s="41" t="str">
        <f t="shared" si="197"/>
        <v>2,5679017076279+5,05984702024011i</v>
      </c>
      <c r="BG202" s="20">
        <f t="shared" si="198"/>
        <v>15.078042259975767</v>
      </c>
      <c r="BH202" s="43">
        <f t="shared" si="199"/>
        <v>63.091942239402222</v>
      </c>
      <c r="BI202" s="41" t="str">
        <f t="shared" si="203"/>
        <v>7,88931563033652+16,1310485970756i</v>
      </c>
      <c r="BJ202" s="20">
        <f t="shared" si="200"/>
        <v>25.084651153283737</v>
      </c>
      <c r="BK202" s="43">
        <f t="shared" si="204"/>
        <v>63.93783293283316</v>
      </c>
      <c r="BL202">
        <f t="shared" si="201"/>
        <v>15.078042259975767</v>
      </c>
      <c r="BM202" s="43">
        <f t="shared" si="202"/>
        <v>63.091942239402222</v>
      </c>
    </row>
    <row r="203" spans="14:65" x14ac:dyDescent="0.25">
      <c r="N203" s="9">
        <v>85</v>
      </c>
      <c r="O203" s="34">
        <f t="shared" si="205"/>
        <v>707.94578438413873</v>
      </c>
      <c r="P203" s="33" t="str">
        <f t="shared" si="155"/>
        <v>54,631621870174</v>
      </c>
      <c r="Q203" s="4" t="str">
        <f t="shared" si="156"/>
        <v>1+17,7286766083368i</v>
      </c>
      <c r="R203" s="4">
        <f t="shared" si="168"/>
        <v>17.756857106002414</v>
      </c>
      <c r="S203" s="4">
        <f t="shared" si="169"/>
        <v>1.5144502438741578</v>
      </c>
      <c r="T203" s="4" t="str">
        <f t="shared" si="157"/>
        <v>1+0,222407727536107i</v>
      </c>
      <c r="U203" s="4">
        <f t="shared" si="170"/>
        <v>1.0244340863461032</v>
      </c>
      <c r="V203" s="4">
        <f t="shared" si="171"/>
        <v>0.21884571458006599</v>
      </c>
      <c r="W203" t="str">
        <f t="shared" si="158"/>
        <v>1-0,0177007141832456i</v>
      </c>
      <c r="X203" s="4">
        <f t="shared" si="172"/>
        <v>1.0001566453724122</v>
      </c>
      <c r="Y203" s="4">
        <f t="shared" si="173"/>
        <v>-1.7698865895935657E-2</v>
      </c>
      <c r="Z203" t="str">
        <f t="shared" si="159"/>
        <v>0,999997995251065+0,00243193496464716i</v>
      </c>
      <c r="AA203" s="4">
        <f t="shared" si="174"/>
        <v>1.0000009524064573</v>
      </c>
      <c r="AB203" s="4">
        <f t="shared" si="175"/>
        <v>2.4319350456602695E-3</v>
      </c>
      <c r="AC203" s="47" t="str">
        <f t="shared" si="176"/>
        <v>0,795343077889084-3,05033113483743i</v>
      </c>
      <c r="AD203" s="20">
        <f t="shared" si="177"/>
        <v>9.9725925136596398</v>
      </c>
      <c r="AE203" s="43">
        <f t="shared" si="178"/>
        <v>-75.386081378756529</v>
      </c>
      <c r="AF203" t="str">
        <f t="shared" si="160"/>
        <v>171,265703090588</v>
      </c>
      <c r="AG203" t="str">
        <f t="shared" si="161"/>
        <v>1+17,5590128640703i</v>
      </c>
      <c r="AH203">
        <f t="shared" si="179"/>
        <v>17.587465217039842</v>
      </c>
      <c r="AI203">
        <f t="shared" si="180"/>
        <v>1.513906968878364</v>
      </c>
      <c r="AJ203" t="str">
        <f t="shared" si="162"/>
        <v>1+0,222407727536107i</v>
      </c>
      <c r="AK203">
        <f t="shared" si="181"/>
        <v>1.0244340863461032</v>
      </c>
      <c r="AL203">
        <f t="shared" si="182"/>
        <v>0.21884571458006599</v>
      </c>
      <c r="AM203" t="str">
        <f t="shared" si="163"/>
        <v>1-0,00559226708635807i</v>
      </c>
      <c r="AN203">
        <f t="shared" si="183"/>
        <v>1.0000156366033308</v>
      </c>
      <c r="AO203">
        <f t="shared" si="184"/>
        <v>-5.5922087909547153E-3</v>
      </c>
      <c r="AP203" s="41" t="str">
        <f t="shared" si="185"/>
        <v>2,66229568404618-9,61423188928987i</v>
      </c>
      <c r="AQ203">
        <f t="shared" si="186"/>
        <v>19.979159231138265</v>
      </c>
      <c r="AR203" s="43">
        <f t="shared" si="187"/>
        <v>-74.52195404408873</v>
      </c>
      <c r="AS203" t="str">
        <f t="shared" si="164"/>
        <v>-0,0000166666666666667</v>
      </c>
      <c r="AT203" t="str">
        <f t="shared" si="165"/>
        <v>0,0000147411841810932i</v>
      </c>
      <c r="AU203">
        <f t="shared" si="188"/>
        <v>1.47411841810932E-5</v>
      </c>
      <c r="AV203">
        <f t="shared" si="189"/>
        <v>1.5707963267948966</v>
      </c>
      <c r="AW203" t="str">
        <f t="shared" si="166"/>
        <v>1+0,00496088690991824i</v>
      </c>
      <c r="AX203">
        <f t="shared" si="190"/>
        <v>1.0000123051237584</v>
      </c>
      <c r="AY203">
        <f t="shared" si="191"/>
        <v>4.9608462140505252E-3</v>
      </c>
      <c r="AZ203" t="str">
        <f t="shared" si="167"/>
        <v>1+1,17431280139065i</v>
      </c>
      <c r="BA203">
        <f t="shared" si="192"/>
        <v>1.5424041479164778</v>
      </c>
      <c r="BB203">
        <f t="shared" si="193"/>
        <v>0.86539621763965913</v>
      </c>
      <c r="BC203" s="41" t="str">
        <f t="shared" si="194"/>
        <v>-1,32205925318583+1,13717784076634i</v>
      </c>
      <c r="BD203">
        <f t="shared" si="195"/>
        <v>4.830184352978816</v>
      </c>
      <c r="BE203" s="43">
        <f t="shared" si="196"/>
        <v>139.29931532645875</v>
      </c>
      <c r="BF203" s="41" t="str">
        <f t="shared" si="197"/>
        <v>2,41727829795621+4,93716502607502i</v>
      </c>
      <c r="BG203" s="20">
        <f t="shared" si="198"/>
        <v>14.802776866638458</v>
      </c>
      <c r="BH203" s="43">
        <f t="shared" si="199"/>
        <v>63.913233947702196</v>
      </c>
      <c r="BI203" s="41" t="str">
        <f t="shared" si="203"/>
        <v>7,41337881667959+15,7380878889751i</v>
      </c>
      <c r="BJ203" s="20">
        <f t="shared" si="200"/>
        <v>24.809343584117066</v>
      </c>
      <c r="BK203" s="43">
        <f t="shared" si="204"/>
        <v>64.777361282369995</v>
      </c>
      <c r="BL203">
        <f t="shared" si="201"/>
        <v>14.802776866638458</v>
      </c>
      <c r="BM203" s="43">
        <f t="shared" si="202"/>
        <v>63.913233947702196</v>
      </c>
    </row>
    <row r="204" spans="14:65" x14ac:dyDescent="0.25">
      <c r="N204" s="9">
        <v>86</v>
      </c>
      <c r="O204" s="34">
        <f t="shared" si="205"/>
        <v>724.43596007499025</v>
      </c>
      <c r="P204" s="33" t="str">
        <f t="shared" si="155"/>
        <v>54,631621870174</v>
      </c>
      <c r="Q204" s="4" t="str">
        <f t="shared" si="156"/>
        <v>1+18,1416305357228i</v>
      </c>
      <c r="R204" s="4">
        <f t="shared" si="168"/>
        <v>18.169170550541651</v>
      </c>
      <c r="S204" s="4">
        <f t="shared" si="169"/>
        <v>1.5157302160175263</v>
      </c>
      <c r="T204" s="4" t="str">
        <f t="shared" si="157"/>
        <v>1+0,227588269016786i</v>
      </c>
      <c r="U204" s="4">
        <f t="shared" si="170"/>
        <v>1.0255712652926938</v>
      </c>
      <c r="V204" s="4">
        <f t="shared" si="171"/>
        <v>0.22377662429556583</v>
      </c>
      <c r="W204" t="str">
        <f t="shared" si="158"/>
        <v>1-0,0181130167820797i</v>
      </c>
      <c r="X204" s="4">
        <f t="shared" si="172"/>
        <v>1.0001640272360068</v>
      </c>
      <c r="Y204" s="4">
        <f t="shared" si="173"/>
        <v>-1.8111036324087067E-2</v>
      </c>
      <c r="Z204" t="str">
        <f t="shared" si="159"/>
        <v>0,999997900770159+0,00248858200700598i</v>
      </c>
      <c r="AA204" s="4">
        <f t="shared" si="174"/>
        <v>1.000000997292068</v>
      </c>
      <c r="AB204" s="4">
        <f t="shared" si="175"/>
        <v>2.4885820938129861E-3</v>
      </c>
      <c r="AC204" s="47" t="str">
        <f t="shared" si="176"/>
        <v>0,787655779690977-2,98194967134869i</v>
      </c>
      <c r="AD204" s="20">
        <f t="shared" si="177"/>
        <v>9.7829126707600764</v>
      </c>
      <c r="AE204" s="43">
        <f t="shared" si="178"/>
        <v>-75.203759327361865</v>
      </c>
      <c r="AF204" t="str">
        <f t="shared" si="160"/>
        <v>171,265703090588</v>
      </c>
      <c r="AG204" t="str">
        <f t="shared" si="161"/>
        <v>1+17,9680148151707i</v>
      </c>
      <c r="AH204">
        <f t="shared" si="179"/>
        <v>17.995820525838599</v>
      </c>
      <c r="AI204">
        <f t="shared" si="180"/>
        <v>1.5151992309441868</v>
      </c>
      <c r="AJ204" t="str">
        <f t="shared" si="162"/>
        <v>1+0,227588269016786i</v>
      </c>
      <c r="AK204">
        <f t="shared" si="181"/>
        <v>1.0255712652926938</v>
      </c>
      <c r="AL204">
        <f t="shared" si="182"/>
        <v>0.22377662429556583</v>
      </c>
      <c r="AM204" t="str">
        <f t="shared" si="163"/>
        <v>1-0,00572252772043252i</v>
      </c>
      <c r="AN204">
        <f t="shared" si="183"/>
        <v>1.0000163735277094</v>
      </c>
      <c r="AO204">
        <f t="shared" si="184"/>
        <v>-5.722465255837657E-3</v>
      </c>
      <c r="AP204" s="41" t="str">
        <f t="shared" si="185"/>
        <v>2,63775949546567-9,39730951854991i</v>
      </c>
      <c r="AQ204">
        <f t="shared" si="186"/>
        <v>19.789434071721054</v>
      </c>
      <c r="AR204" s="43">
        <f t="shared" si="187"/>
        <v>-74.32093803631922</v>
      </c>
      <c r="AS204" t="str">
        <f t="shared" si="164"/>
        <v>-0,0000166666666666667</v>
      </c>
      <c r="AT204" t="str">
        <f t="shared" si="165"/>
        <v>0,0000150845504704326i</v>
      </c>
      <c r="AU204">
        <f t="shared" si="188"/>
        <v>1.50845504704326E-5</v>
      </c>
      <c r="AV204">
        <f t="shared" si="189"/>
        <v>1.5707963267948966</v>
      </c>
      <c r="AW204" t="str">
        <f t="shared" si="166"/>
        <v>1+0,00507644081041666i</v>
      </c>
      <c r="AX204">
        <f t="shared" si="190"/>
        <v>1.0000128850426386</v>
      </c>
      <c r="AY204">
        <f t="shared" si="191"/>
        <v>5.0763972040391058E-3</v>
      </c>
      <c r="AZ204" t="str">
        <f t="shared" si="167"/>
        <v>1+1,20166606040863i</v>
      </c>
      <c r="BA204">
        <f t="shared" si="192"/>
        <v>1.5633302020808006</v>
      </c>
      <c r="BB204">
        <f t="shared" si="193"/>
        <v>0.8767403031151777</v>
      </c>
      <c r="BC204" s="41" t="str">
        <f t="shared" si="194"/>
        <v>-1,32205771983178+1,11159456581649i</v>
      </c>
      <c r="BD204">
        <f t="shared" si="195"/>
        <v>4.7472299887937455</v>
      </c>
      <c r="BE204" s="43">
        <f t="shared" si="196"/>
        <v>139.94266296259667</v>
      </c>
      <c r="BF204" s="41" t="str">
        <f t="shared" si="197"/>
        <v>2,2733926460989+4,81786346759482i</v>
      </c>
      <c r="BG204" s="20">
        <f t="shared" si="198"/>
        <v>14.530142659553832</v>
      </c>
      <c r="BH204" s="43">
        <f t="shared" si="199"/>
        <v>64.738903635234806</v>
      </c>
      <c r="BI204" s="41" t="str">
        <f t="shared" si="203"/>
        <v>6,95872789007569+15,3559047157381i</v>
      </c>
      <c r="BJ204" s="20">
        <f t="shared" si="200"/>
        <v>24.53666406051482</v>
      </c>
      <c r="BK204" s="43">
        <f t="shared" si="204"/>
        <v>65.621724926277508</v>
      </c>
      <c r="BL204">
        <f t="shared" si="201"/>
        <v>14.530142659553832</v>
      </c>
      <c r="BM204" s="43">
        <f t="shared" si="202"/>
        <v>64.738903635234806</v>
      </c>
    </row>
    <row r="205" spans="14:65" x14ac:dyDescent="0.25">
      <c r="N205" s="9">
        <v>87</v>
      </c>
      <c r="O205" s="34">
        <f t="shared" si="205"/>
        <v>741.31024130091828</v>
      </c>
      <c r="P205" s="33" t="str">
        <f t="shared" si="155"/>
        <v>54,631621870174</v>
      </c>
      <c r="Q205" s="4" t="str">
        <f t="shared" si="156"/>
        <v>1+18,5642033957517i</v>
      </c>
      <c r="R205" s="4">
        <f t="shared" si="168"/>
        <v>18.591117441370731</v>
      </c>
      <c r="S205" s="4">
        <f t="shared" si="169"/>
        <v>1.5169812269880245</v>
      </c>
      <c r="T205" s="4" t="str">
        <f t="shared" si="157"/>
        <v>1+0,232889480810184i</v>
      </c>
      <c r="U205" s="4">
        <f t="shared" si="170"/>
        <v>1.0267606879268592</v>
      </c>
      <c r="V205" s="4">
        <f t="shared" si="171"/>
        <v>0.22881095700088713</v>
      </c>
      <c r="W205" t="str">
        <f t="shared" si="158"/>
        <v>1-0,0185349231421659i</v>
      </c>
      <c r="X205" s="4">
        <f t="shared" si="172"/>
        <v>1.0001717569377202</v>
      </c>
      <c r="Y205" s="4">
        <f t="shared" si="173"/>
        <v>-1.8532801062875148E-2</v>
      </c>
      <c r="Z205" t="str">
        <f t="shared" si="159"/>
        <v>0,999997801836505+0,00254654852848519i</v>
      </c>
      <c r="AA205" s="4">
        <f t="shared" si="174"/>
        <v>1.0000010442930798</v>
      </c>
      <c r="AB205" s="4">
        <f t="shared" si="175"/>
        <v>2.5465486215004562E-3</v>
      </c>
      <c r="AC205" s="47" t="str">
        <f t="shared" si="176"/>
        <v>0,780312279305435-2,91511124184241i</v>
      </c>
      <c r="AD205" s="20">
        <f t="shared" si="177"/>
        <v>9.5936392972467299</v>
      </c>
      <c r="AE205" s="43">
        <f t="shared" si="178"/>
        <v>-75.014477536285909</v>
      </c>
      <c r="AF205" t="str">
        <f t="shared" si="160"/>
        <v>171,265703090588</v>
      </c>
      <c r="AG205" t="str">
        <f t="shared" si="161"/>
        <v>1+18,3865436455609i</v>
      </c>
      <c r="AH205">
        <f t="shared" si="179"/>
        <v>18.413717365869278</v>
      </c>
      <c r="AI205">
        <f t="shared" si="180"/>
        <v>1.5164622571720185</v>
      </c>
      <c r="AJ205" t="str">
        <f t="shared" si="162"/>
        <v>1+0,232889480810184i</v>
      </c>
      <c r="AK205">
        <f t="shared" si="181"/>
        <v>1.0267606879268592</v>
      </c>
      <c r="AL205">
        <f t="shared" si="182"/>
        <v>0.22881095700088713</v>
      </c>
      <c r="AM205" t="str">
        <f t="shared" si="163"/>
        <v>1-0,00585582251445096i</v>
      </c>
      <c r="AN205">
        <f t="shared" si="183"/>
        <v>1.0000171451816817</v>
      </c>
      <c r="AO205">
        <f t="shared" si="184"/>
        <v>-5.8557555824936477E-3</v>
      </c>
      <c r="AP205" s="41" t="str">
        <f t="shared" si="185"/>
        <v>2,61432094993088-9,18524713616142i</v>
      </c>
      <c r="AQ205">
        <f t="shared" si="186"/>
        <v>19.600112144531725</v>
      </c>
      <c r="AR205" s="43">
        <f t="shared" si="187"/>
        <v>-74.112495065076018</v>
      </c>
      <c r="AS205" t="str">
        <f t="shared" si="164"/>
        <v>-0,0000166666666666667</v>
      </c>
      <c r="AT205" t="str">
        <f t="shared" si="165"/>
        <v>0,000015435914788099i</v>
      </c>
      <c r="AU205">
        <f t="shared" si="188"/>
        <v>1.5435914788099001E-5</v>
      </c>
      <c r="AV205">
        <f t="shared" si="189"/>
        <v>1.5707963267948966</v>
      </c>
      <c r="AW205" t="str">
        <f t="shared" si="166"/>
        <v>1+0,0051946863070274i</v>
      </c>
      <c r="AX205">
        <f t="shared" si="190"/>
        <v>1.0000134922918933</v>
      </c>
      <c r="AY205">
        <f t="shared" si="191"/>
        <v>5.194639581986067E-3</v>
      </c>
      <c r="AZ205" t="str">
        <f t="shared" si="167"/>
        <v>1+1,22965645867777i</v>
      </c>
      <c r="BA205">
        <f t="shared" si="192"/>
        <v>1.5849463733413678</v>
      </c>
      <c r="BB205">
        <f t="shared" si="193"/>
        <v>0.88803704028644004</v>
      </c>
      <c r="BC205" s="41" t="str">
        <f t="shared" si="194"/>
        <v>-1,32205611421681+1,08660067228527i</v>
      </c>
      <c r="BD205">
        <f t="shared" si="195"/>
        <v>4.666501800712445</v>
      </c>
      <c r="BE205" s="43">
        <f t="shared" si="196"/>
        <v>140.58314353556267</v>
      </c>
      <c r="BF205" s="41" t="str">
        <f t="shared" si="197"/>
        <v>2,13594521531811+4,70182848818565i</v>
      </c>
      <c r="BG205" s="20">
        <f t="shared" si="198"/>
        <v>14.260141097959174</v>
      </c>
      <c r="BH205" s="43">
        <f t="shared" si="199"/>
        <v>65.568665999276689</v>
      </c>
      <c r="BI205" s="41" t="str">
        <f t="shared" si="203"/>
        <v>6,52441671687813+14,984135038719i</v>
      </c>
      <c r="BJ205" s="20">
        <f t="shared" si="200"/>
        <v>24.266613945244163</v>
      </c>
      <c r="BK205" s="43">
        <f t="shared" si="204"/>
        <v>66.470648470486623</v>
      </c>
      <c r="BL205">
        <f t="shared" si="201"/>
        <v>14.260141097959174</v>
      </c>
      <c r="BM205" s="43">
        <f t="shared" si="202"/>
        <v>65.568665999276689</v>
      </c>
    </row>
    <row r="206" spans="14:65" x14ac:dyDescent="0.25">
      <c r="N206" s="9">
        <v>88</v>
      </c>
      <c r="O206" s="34">
        <f t="shared" si="205"/>
        <v>758.57757502918378</v>
      </c>
      <c r="P206" s="33" t="str">
        <f t="shared" si="155"/>
        <v>54,631621870174</v>
      </c>
      <c r="Q206" s="4" t="str">
        <f t="shared" si="156"/>
        <v>1+18,9966192421473i</v>
      </c>
      <c r="R206" s="4">
        <f t="shared" si="168"/>
        <v>19.022921506201961</v>
      </c>
      <c r="S206" s="4">
        <f t="shared" si="169"/>
        <v>1.5182039244164103</v>
      </c>
      <c r="T206" s="4" t="str">
        <f t="shared" si="157"/>
        <v>1+0,238314173688965i</v>
      </c>
      <c r="U206" s="4">
        <f t="shared" si="170"/>
        <v>1.0280046913224932</v>
      </c>
      <c r="V206" s="4">
        <f t="shared" si="171"/>
        <v>0.23395036076750969</v>
      </c>
      <c r="W206" t="str">
        <f t="shared" si="158"/>
        <v>1-0,0189666569638407i</v>
      </c>
      <c r="X206" s="4">
        <f t="shared" si="172"/>
        <v>1.000179850865025</v>
      </c>
      <c r="Y206" s="4">
        <f t="shared" si="173"/>
        <v>-1.8964383136995999E-2</v>
      </c>
      <c r="Z206" t="str">
        <f t="shared" si="159"/>
        <v>0,999997698240251+0,00260586526370176i</v>
      </c>
      <c r="AA206" s="4">
        <f t="shared" si="174"/>
        <v>1.0000010935091883</v>
      </c>
      <c r="AB206" s="4">
        <f t="shared" si="175"/>
        <v>2.6058653633692832E-3</v>
      </c>
      <c r="AC206" s="47" t="str">
        <f t="shared" si="176"/>
        <v>0,773297276252408-2,84978293182068i</v>
      </c>
      <c r="AD206" s="20">
        <f t="shared" si="177"/>
        <v>9.4047920153939941</v>
      </c>
      <c r="AE206" s="43">
        <f t="shared" si="178"/>
        <v>-74.8181932238369</v>
      </c>
      <c r="AF206" t="str">
        <f t="shared" si="160"/>
        <v>171,265703090588</v>
      </c>
      <c r="AG206" t="str">
        <f t="shared" si="161"/>
        <v>1+18,8148212647667i</v>
      </c>
      <c r="AH206">
        <f t="shared" si="179"/>
        <v>18.841377317625088</v>
      </c>
      <c r="AI206">
        <f t="shared" si="180"/>
        <v>1.5176967011073599</v>
      </c>
      <c r="AJ206" t="str">
        <f t="shared" si="162"/>
        <v>1+0,238314173688965i</v>
      </c>
      <c r="AK206">
        <f t="shared" si="181"/>
        <v>1.0280046913224932</v>
      </c>
      <c r="AL206">
        <f t="shared" si="182"/>
        <v>0.23395036076750969</v>
      </c>
      <c r="AM206" t="str">
        <f t="shared" si="163"/>
        <v>1-0,00599222214307753i</v>
      </c>
      <c r="AN206">
        <f t="shared" si="183"/>
        <v>1.0000179532019473</v>
      </c>
      <c r="AO206">
        <f t="shared" si="184"/>
        <v>-5.9921504242626718E-3</v>
      </c>
      <c r="AP206" s="41" t="str">
        <f t="shared" si="185"/>
        <v>2,5919312294838-8,97794043842073i</v>
      </c>
      <c r="AQ206">
        <f t="shared" si="186"/>
        <v>19.411212968562648</v>
      </c>
      <c r="AR206" s="43">
        <f t="shared" si="187"/>
        <v>-73.896572196356146</v>
      </c>
      <c r="AS206" t="str">
        <f t="shared" si="164"/>
        <v>-0,0000166666666666667</v>
      </c>
      <c r="AT206" t="str">
        <f t="shared" si="165"/>
        <v>0,0000157954634321046i</v>
      </c>
      <c r="AU206">
        <f t="shared" si="188"/>
        <v>1.5795463432104599E-5</v>
      </c>
      <c r="AV206">
        <f t="shared" si="189"/>
        <v>1.5707963267948966</v>
      </c>
      <c r="AW206" t="str">
        <f t="shared" si="166"/>
        <v>1+0,00531568609507793i</v>
      </c>
      <c r="AX206">
        <f t="shared" si="190"/>
        <v>1.0000141281595283</v>
      </c>
      <c r="AY206">
        <f t="shared" si="191"/>
        <v>5.3156360283323064E-3</v>
      </c>
      <c r="AZ206" t="str">
        <f t="shared" si="167"/>
        <v>1+1,25829883707773i</v>
      </c>
      <c r="BA206">
        <f t="shared" si="192"/>
        <v>1.607269723285786</v>
      </c>
      <c r="BB206">
        <f t="shared" si="193"/>
        <v>0.89928088638798276</v>
      </c>
      <c r="BC206" s="41" t="str">
        <f t="shared" si="194"/>
        <v>-1,3220544329357+1,06218290802699i</v>
      </c>
      <c r="BD206">
        <f t="shared" si="195"/>
        <v>4.5879801051958315</v>
      </c>
      <c r="BE206" s="43">
        <f t="shared" si="196"/>
        <v>141.2204358769639</v>
      </c>
      <c r="BF206" s="41" t="str">
        <f t="shared" si="197"/>
        <v>2,00464962972037+4,58895130757716i</v>
      </c>
      <c r="BG206" s="20">
        <f t="shared" si="198"/>
        <v>13.992772120589827</v>
      </c>
      <c r="BH206" s="43">
        <f t="shared" si="199"/>
        <v>66.402242653127033</v>
      </c>
      <c r="BI206" s="41" t="str">
        <f t="shared" si="203"/>
        <v>6,1095407111713+14,6224310059859i</v>
      </c>
      <c r="BJ206" s="20">
        <f t="shared" si="200"/>
        <v>23.999193073758491</v>
      </c>
      <c r="BK206" s="43">
        <f t="shared" si="204"/>
        <v>67.323863680607786</v>
      </c>
      <c r="BL206">
        <f t="shared" si="201"/>
        <v>13.992772120589827</v>
      </c>
      <c r="BM206" s="43">
        <f t="shared" si="202"/>
        <v>66.402242653127033</v>
      </c>
    </row>
    <row r="207" spans="14:65" x14ac:dyDescent="0.25">
      <c r="N207" s="9">
        <v>89</v>
      </c>
      <c r="O207" s="34">
        <f t="shared" si="205"/>
        <v>776.24711662869231</v>
      </c>
      <c r="P207" s="33" t="str">
        <f t="shared" si="155"/>
        <v>54,631621870174</v>
      </c>
      <c r="Q207" s="4" t="str">
        <f t="shared" si="156"/>
        <v>1+19,439107347515i</v>
      </c>
      <c r="R207" s="4">
        <f t="shared" si="168"/>
        <v>19.464811698760709</v>
      </c>
      <c r="S207" s="4">
        <f t="shared" si="169"/>
        <v>1.5193989419613987</v>
      </c>
      <c r="T207" s="4" t="str">
        <f t="shared" si="157"/>
        <v>1+0,243865223897096i</v>
      </c>
      <c r="U207" s="4">
        <f t="shared" si="170"/>
        <v>1.0293057113542026</v>
      </c>
      <c r="V207" s="4">
        <f t="shared" si="171"/>
        <v>0.23919647409902642</v>
      </c>
      <c r="W207" t="str">
        <f t="shared" si="158"/>
        <v>1-0,0194084471580912i</v>
      </c>
      <c r="X207" s="4">
        <f t="shared" si="172"/>
        <v>1.0001883261771698</v>
      </c>
      <c r="Y207" s="4">
        <f t="shared" si="173"/>
        <v>-1.9406010733506816E-2</v>
      </c>
      <c r="Z207" t="str">
        <f t="shared" si="159"/>
        <v>0,999997589761656+0,00266656366317385i</v>
      </c>
      <c r="AA207" s="4">
        <f t="shared" si="174"/>
        <v>1.0000011450447899</v>
      </c>
      <c r="AB207" s="4">
        <f t="shared" si="175"/>
        <v>2.6665637699693793E-3</v>
      </c>
      <c r="AC207" s="47" t="str">
        <f t="shared" si="176"/>
        <v>0,766596142682071-2,78593246056788i</v>
      </c>
      <c r="AD207" s="20">
        <f t="shared" si="177"/>
        <v>9.2163910727865517</v>
      </c>
      <c r="AE207" s="43">
        <f t="shared" si="178"/>
        <v>-74.614863692783601</v>
      </c>
      <c r="AF207" t="str">
        <f t="shared" si="160"/>
        <v>171,265703090588</v>
      </c>
      <c r="AG207" t="str">
        <f t="shared" si="161"/>
        <v>1+19,2530747512507i</v>
      </c>
      <c r="AH207">
        <f t="shared" si="179"/>
        <v>19.279027137727859</v>
      </c>
      <c r="AI207">
        <f t="shared" si="180"/>
        <v>1.5189032022113169</v>
      </c>
      <c r="AJ207" t="str">
        <f t="shared" si="162"/>
        <v>1+0,243865223897096i</v>
      </c>
      <c r="AK207">
        <f t="shared" si="181"/>
        <v>1.0293057113542026</v>
      </c>
      <c r="AL207">
        <f t="shared" si="182"/>
        <v>0.23919647409902642</v>
      </c>
      <c r="AM207" t="str">
        <f t="shared" si="163"/>
        <v>1-0,0061317989272008i</v>
      </c>
      <c r="AN207">
        <f t="shared" si="183"/>
        <v>1.0000187993023348</v>
      </c>
      <c r="AO207">
        <f t="shared" si="184"/>
        <v>-6.1317220791841549E-3</v>
      </c>
      <c r="AP207" s="41" t="str">
        <f t="shared" si="185"/>
        <v>2,57054366226671-8,7752871053722i</v>
      </c>
      <c r="AQ207">
        <f t="shared" si="186"/>
        <v>19.222756681082661</v>
      </c>
      <c r="AR207" s="43">
        <f t="shared" si="187"/>
        <v>-73.673116331614253</v>
      </c>
      <c r="AS207" t="str">
        <f t="shared" si="164"/>
        <v>-0,0000166666666666667</v>
      </c>
      <c r="AT207" t="str">
        <f t="shared" si="165"/>
        <v>0,0000161633870398995i</v>
      </c>
      <c r="AU207">
        <f t="shared" si="188"/>
        <v>1.61633870398995E-5</v>
      </c>
      <c r="AV207">
        <f t="shared" si="189"/>
        <v>1.5707963267948966</v>
      </c>
      <c r="AW207" t="str">
        <f t="shared" si="166"/>
        <v>1+0,00543950433025749i</v>
      </c>
      <c r="AX207">
        <f t="shared" si="190"/>
        <v>1.0000147939942483</v>
      </c>
      <c r="AY207">
        <f t="shared" si="191"/>
        <v>5.4394506828158683E-3</v>
      </c>
      <c r="AZ207" t="str">
        <f t="shared" si="167"/>
        <v>1+1,28760838217667i</v>
      </c>
      <c r="BA207">
        <f t="shared" si="192"/>
        <v>1.6303175598182158</v>
      </c>
      <c r="BB207">
        <f t="shared" si="193"/>
        <v>0.9104664317697736</v>
      </c>
      <c r="BC207" s="41" t="str">
        <f t="shared" si="194"/>
        <v>-1,32205267242286+1,03832832636361i</v>
      </c>
      <c r="BD207">
        <f t="shared" si="195"/>
        <v>4.5116431708775293</v>
      </c>
      <c r="BE207" s="43">
        <f t="shared" si="196"/>
        <v>141.85422636174906</v>
      </c>
      <c r="BF207" s="41" t="str">
        <f t="shared" si="197"/>
        <v>1,87923211004161+4,47912794451123i</v>
      </c>
      <c r="BG207" s="20">
        <f t="shared" si="198"/>
        <v>13.728034243664071</v>
      </c>
      <c r="BH207" s="43">
        <f t="shared" si="199"/>
        <v>67.239362668965498</v>
      </c>
      <c r="BI207" s="41" t="str">
        <f t="shared" si="203"/>
        <v>5,71323505520193+14,2704600676212i</v>
      </c>
      <c r="BJ207" s="20">
        <f t="shared" si="200"/>
        <v>23.734399851960212</v>
      </c>
      <c r="BK207" s="43">
        <f t="shared" si="204"/>
        <v>68.181110030134903</v>
      </c>
      <c r="BL207">
        <f t="shared" si="201"/>
        <v>13.728034243664071</v>
      </c>
      <c r="BM207" s="43">
        <f t="shared" si="202"/>
        <v>67.239362668965498</v>
      </c>
    </row>
    <row r="208" spans="14:65" x14ac:dyDescent="0.25">
      <c r="N208" s="9">
        <v>90</v>
      </c>
      <c r="O208" s="34">
        <f t="shared" si="205"/>
        <v>794.32823472428208</v>
      </c>
      <c r="P208" s="33" t="str">
        <f t="shared" si="155"/>
        <v>54,631621870174</v>
      </c>
      <c r="Q208" s="4" t="str">
        <f t="shared" si="156"/>
        <v>1+19,8919023249054i</v>
      </c>
      <c r="R208" s="4">
        <f t="shared" si="168"/>
        <v>19.917022320205817</v>
      </c>
      <c r="S208" s="4">
        <f t="shared" si="169"/>
        <v>1.5205668995768444</v>
      </c>
      <c r="T208" s="4" t="str">
        <f t="shared" si="157"/>
        <v>1+0,249545574674875i</v>
      </c>
      <c r="U208" s="4">
        <f t="shared" si="170"/>
        <v>1.0306662863603397</v>
      </c>
      <c r="V208" s="4">
        <f t="shared" si="171"/>
        <v>0.24455092299378356</v>
      </c>
      <c r="W208" t="str">
        <f t="shared" si="158"/>
        <v>1-0,019860527967926i</v>
      </c>
      <c r="X208" s="4">
        <f t="shared" si="172"/>
        <v>1.0001972008414963</v>
      </c>
      <c r="Y208" s="4">
        <f t="shared" si="173"/>
        <v>-1.9857917319747054E-2</v>
      </c>
      <c r="Z208" t="str">
        <f t="shared" si="159"/>
        <v>0,999997476170622+0,0027286759099963i</v>
      </c>
      <c r="AA208" s="4">
        <f t="shared" si="174"/>
        <v>1.0000011990091988</v>
      </c>
      <c r="AB208" s="4">
        <f t="shared" si="175"/>
        <v>2.7286760244296087E-3</v>
      </c>
      <c r="AC208" s="47" t="str">
        <f t="shared" si="176"/>
        <v>0,760194894455468-2,72352817500472i</v>
      </c>
      <c r="AD208" s="20">
        <f t="shared" si="177"/>
        <v>9.0284573611774341</v>
      </c>
      <c r="AE208" s="43">
        <f t="shared" si="178"/>
        <v>-74.40444652167308</v>
      </c>
      <c r="AF208" t="str">
        <f t="shared" si="160"/>
        <v>171,265703090588</v>
      </c>
      <c r="AG208" t="str">
        <f t="shared" si="161"/>
        <v>1+19,7015364728124i</v>
      </c>
      <c r="AH208">
        <f t="shared" si="179"/>
        <v>19.726898879184159</v>
      </c>
      <c r="AI208">
        <f t="shared" si="180"/>
        <v>1.5200823861288784</v>
      </c>
      <c r="AJ208" t="str">
        <f t="shared" si="162"/>
        <v>1+0,249545574674875i</v>
      </c>
      <c r="AK208">
        <f t="shared" si="181"/>
        <v>1.0306662863603397</v>
      </c>
      <c r="AL208">
        <f t="shared" si="182"/>
        <v>0.24455092299378356</v>
      </c>
      <c r="AM208" t="str">
        <f t="shared" si="163"/>
        <v>1-0,00627462687227923i</v>
      </c>
      <c r="AN208">
        <f t="shared" si="183"/>
        <v>1.0000196852774381</v>
      </c>
      <c r="AO208">
        <f t="shared" si="184"/>
        <v>-6.2745445282333711E-3</v>
      </c>
      <c r="AP208" s="41" t="str">
        <f t="shared" si="185"/>
        <v>2,55011363038357-8,57718678189255i</v>
      </c>
      <c r="AQ208">
        <f t="shared" si="186"/>
        <v>19.034764056259462</v>
      </c>
      <c r="AR208" s="43">
        <f t="shared" si="187"/>
        <v>-73.442074393622349</v>
      </c>
      <c r="AS208" t="str">
        <f t="shared" si="164"/>
        <v>-0,0000166666666666667</v>
      </c>
      <c r="AT208" t="str">
        <f t="shared" si="165"/>
        <v>0,0000165398806894507i</v>
      </c>
      <c r="AU208">
        <f t="shared" si="188"/>
        <v>1.65398806894507E-5</v>
      </c>
      <c r="AV208">
        <f t="shared" si="189"/>
        <v>1.5707963267948966</v>
      </c>
      <c r="AW208" t="str">
        <f t="shared" si="166"/>
        <v>1+0,00556620666263331i</v>
      </c>
      <c r="AX208">
        <f t="shared" si="190"/>
        <v>1.0000154912083168</v>
      </c>
      <c r="AY208">
        <f t="shared" si="191"/>
        <v>5.5661491784120293E-3</v>
      </c>
      <c r="AZ208" t="str">
        <f t="shared" si="167"/>
        <v>1+1,31760063428334i</v>
      </c>
      <c r="BA208">
        <f t="shared" si="192"/>
        <v>1.6541074425392868</v>
      </c>
      <c r="BB208">
        <f t="shared" si="193"/>
        <v>0.92158841176574691</v>
      </c>
      <c r="BC208" s="41" t="str">
        <f t="shared" si="194"/>
        <v>-1,32205082894461+1,01502427921993i</v>
      </c>
      <c r="BD208">
        <f t="shared" si="195"/>
        <v>4.4374673041806005</v>
      </c>
      <c r="BE208" s="43">
        <f t="shared" si="196"/>
        <v>142.48420958627881</v>
      </c>
      <c r="BF208" s="41" t="str">
        <f t="shared" si="197"/>
        <v>1,75943093239503+4,37225895623032i</v>
      </c>
      <c r="BG208" s="20">
        <f t="shared" si="198"/>
        <v>13.465924665358033</v>
      </c>
      <c r="BH208" s="43">
        <f t="shared" si="199"/>
        <v>68.079763064605672</v>
      </c>
      <c r="BI208" s="41" t="str">
        <f t="shared" si="203"/>
        <v>5,33467299207365+13,9279041446228i</v>
      </c>
      <c r="BJ208" s="20">
        <f t="shared" si="200"/>
        <v>23.472231360440063</v>
      </c>
      <c r="BK208" s="43">
        <f t="shared" si="204"/>
        <v>69.042135192656445</v>
      </c>
      <c r="BL208">
        <f t="shared" si="201"/>
        <v>13.465924665358033</v>
      </c>
      <c r="BM208" s="43">
        <f t="shared" si="202"/>
        <v>68.079763064605672</v>
      </c>
    </row>
    <row r="209" spans="14:65" x14ac:dyDescent="0.25">
      <c r="N209" s="9">
        <v>91</v>
      </c>
      <c r="O209" s="34">
        <f t="shared" si="205"/>
        <v>812.83051616409978</v>
      </c>
      <c r="P209" s="33" t="str">
        <f t="shared" si="155"/>
        <v>54,631621870174</v>
      </c>
      <c r="Q209" s="4" t="str">
        <f t="shared" si="156"/>
        <v>1+20,355244252209i</v>
      </c>
      <c r="R209" s="4">
        <f t="shared" si="168"/>
        <v>20.379793143383168</v>
      </c>
      <c r="S209" s="4">
        <f t="shared" si="169"/>
        <v>1.5217084037761781</v>
      </c>
      <c r="T209" s="4" t="str">
        <f t="shared" si="157"/>
        <v>1+0,255358237819474i</v>
      </c>
      <c r="U209" s="4">
        <f t="shared" si="170"/>
        <v>1.0320890608965232</v>
      </c>
      <c r="V209" s="4">
        <f t="shared" si="171"/>
        <v>0.25001531782043424</v>
      </c>
      <c r="W209" t="str">
        <f t="shared" si="158"/>
        <v>1-0,0203231390925746i</v>
      </c>
      <c r="X209" s="4">
        <f t="shared" si="172"/>
        <v>1.0002064936714699</v>
      </c>
      <c r="Y209" s="4">
        <f t="shared" si="173"/>
        <v>-2.0320341763841836E-2</v>
      </c>
      <c r="Z209" t="str">
        <f t="shared" si="159"/>
        <v>0,999997357226208+0,00279223493690452i</v>
      </c>
      <c r="AA209" s="4">
        <f t="shared" si="174"/>
        <v>1.0000012555168831</v>
      </c>
      <c r="AB209" s="4">
        <f t="shared" si="175"/>
        <v>2.7922350595218355E-3</v>
      </c>
      <c r="AC209" s="47" t="str">
        <f t="shared" si="176"/>
        <v>0,754080163407242-2,66253904316144i</v>
      </c>
      <c r="AD209" s="20">
        <f t="shared" si="177"/>
        <v>8.8410124348010974</v>
      </c>
      <c r="AE209" s="43">
        <f t="shared" si="178"/>
        <v>-74.186899766882163</v>
      </c>
      <c r="AF209" t="str">
        <f t="shared" si="160"/>
        <v>171,265703090588</v>
      </c>
      <c r="AG209" t="str">
        <f t="shared" si="161"/>
        <v>1+20,1604442097926i</v>
      </c>
      <c r="AH209">
        <f t="shared" si="179"/>
        <v>20.185230014447693</v>
      </c>
      <c r="AI209">
        <f t="shared" si="180"/>
        <v>1.5212348649545173</v>
      </c>
      <c r="AJ209" t="str">
        <f t="shared" si="162"/>
        <v>1+0,255358237819474i</v>
      </c>
      <c r="AK209">
        <f t="shared" si="181"/>
        <v>1.0320890608965232</v>
      </c>
      <c r="AL209">
        <f t="shared" si="182"/>
        <v>0.25001531782043424</v>
      </c>
      <c r="AM209" t="str">
        <f t="shared" si="163"/>
        <v>1-0,00642078170757983i</v>
      </c>
      <c r="AN209">
        <f t="shared" si="183"/>
        <v>1.0000206130064202</v>
      </c>
      <c r="AO209">
        <f t="shared" si="184"/>
        <v>-6.4206934744432476E-3</v>
      </c>
      <c r="AP209" s="41" t="str">
        <f t="shared" si="185"/>
        <v>2,53059848152172-8,38354105751859i</v>
      </c>
      <c r="AQ209">
        <f t="shared" si="186"/>
        <v>18.84725652322118</v>
      </c>
      <c r="AR209" s="43">
        <f t="shared" si="187"/>
        <v>-73.203393522947536</v>
      </c>
      <c r="AS209" t="str">
        <f t="shared" si="164"/>
        <v>-0,0000166666666666667</v>
      </c>
      <c r="AT209" t="str">
        <f t="shared" si="165"/>
        <v>0,0000169251440026747i</v>
      </c>
      <c r="AU209">
        <f t="shared" si="188"/>
        <v>1.6925144002674702E-5</v>
      </c>
      <c r="AV209">
        <f t="shared" si="189"/>
        <v>1.5707963267948966</v>
      </c>
      <c r="AW209" t="str">
        <f t="shared" si="166"/>
        <v>1+0,00569586027145911i</v>
      </c>
      <c r="AX209">
        <f t="shared" si="190"/>
        <v>1.000016221280551</v>
      </c>
      <c r="AY209">
        <f t="shared" si="191"/>
        <v>5.6957986760602236E-3</v>
      </c>
      <c r="AZ209" t="str">
        <f t="shared" si="167"/>
        <v>1+1,34829149568682i</v>
      </c>
      <c r="BA209">
        <f t="shared" si="192"/>
        <v>1.6786571887498059</v>
      </c>
      <c r="BB209">
        <f t="shared" si="193"/>
        <v>0.93264171771005733</v>
      </c>
      <c r="BC209" s="41" t="str">
        <f t="shared" si="194"/>
        <v>-1,32204889859142+0,992258410417107i</v>
      </c>
      <c r="BD209">
        <f t="shared" si="195"/>
        <v>4.3654269411874553</v>
      </c>
      <c r="BE209" s="43">
        <f t="shared" si="196"/>
        <v>143.11008899752338</v>
      </c>
      <c r="BF209" s="41" t="str">
        <f t="shared" si="197"/>
        <v>1,64499590915867+4,26824919373778i</v>
      </c>
      <c r="BG209" s="20">
        <f t="shared" si="198"/>
        <v>13.206439375988555</v>
      </c>
      <c r="BH209" s="43">
        <f t="shared" si="199"/>
        <v>68.923189230641242</v>
      </c>
      <c r="BI209" s="41" t="str">
        <f t="shared" si="203"/>
        <v>4,97306418812704+13,5944588480671i</v>
      </c>
      <c r="BJ209" s="20">
        <f t="shared" si="200"/>
        <v>23.212683464408649</v>
      </c>
      <c r="BK209" s="43">
        <f t="shared" si="204"/>
        <v>69.906695474575841</v>
      </c>
      <c r="BL209">
        <f t="shared" si="201"/>
        <v>13.206439375988555</v>
      </c>
      <c r="BM209" s="43">
        <f t="shared" si="202"/>
        <v>68.923189230641242</v>
      </c>
    </row>
    <row r="210" spans="14:65" x14ac:dyDescent="0.25">
      <c r="N210" s="9">
        <v>92</v>
      </c>
      <c r="O210" s="34">
        <f t="shared" si="205"/>
        <v>831.7637711026714</v>
      </c>
      <c r="P210" s="33" t="str">
        <f t="shared" si="155"/>
        <v>54,631621870174</v>
      </c>
      <c r="Q210" s="4" t="str">
        <f t="shared" si="156"/>
        <v>1+20,8293787994485i</v>
      </c>
      <c r="R210" s="4">
        <f t="shared" si="168"/>
        <v>20.853369539978775</v>
      </c>
      <c r="S210" s="4">
        <f t="shared" si="169"/>
        <v>1.5228240478939461</v>
      </c>
      <c r="T210" s="4" t="str">
        <f t="shared" si="157"/>
        <v>1+0,261306295281829i</v>
      </c>
      <c r="U210" s="4">
        <f t="shared" si="170"/>
        <v>1.0335767895777819</v>
      </c>
      <c r="V210" s="4">
        <f t="shared" si="171"/>
        <v>0.25559125000094368</v>
      </c>
      <c r="W210" t="str">
        <f t="shared" si="158"/>
        <v>1-0,0207965258145786i</v>
      </c>
      <c r="X210" s="4">
        <f t="shared" si="172"/>
        <v>1.0002162243664898</v>
      </c>
      <c r="Y210" s="4">
        <f t="shared" si="173"/>
        <v>-2.0793528457833325E-2</v>
      </c>
      <c r="Z210" t="str">
        <f t="shared" si="159"/>
        <v>0,999997232676116+0,00285727444373589i</v>
      </c>
      <c r="AA210" s="4">
        <f t="shared" si="174"/>
        <v>1.000001314687704</v>
      </c>
      <c r="AB210" s="4">
        <f t="shared" si="175"/>
        <v>2.8572745751225051E-3</v>
      </c>
      <c r="AC210" s="47" t="str">
        <f t="shared" si="176"/>
        <v>0,748239170747495-2,60293464731204i</v>
      </c>
      <c r="AD210" s="20">
        <f t="shared" si="177"/>
        <v>8.654078528044618</v>
      </c>
      <c r="AE210" s="43">
        <f t="shared" si="178"/>
        <v>-73.962182175707483</v>
      </c>
      <c r="AF210" t="str">
        <f t="shared" si="160"/>
        <v>171,265703090588</v>
      </c>
      <c r="AG210" t="str">
        <f t="shared" si="161"/>
        <v>1+20,6300412811479i</v>
      </c>
      <c r="AH210">
        <f t="shared" si="179"/>
        <v>20.65426356135378</v>
      </c>
      <c r="AI210">
        <f t="shared" si="180"/>
        <v>1.5223612374949607</v>
      </c>
      <c r="AJ210" t="str">
        <f t="shared" si="162"/>
        <v>1+0,261306295281829i</v>
      </c>
      <c r="AK210">
        <f t="shared" si="181"/>
        <v>1.0335767895777819</v>
      </c>
      <c r="AL210">
        <f t="shared" si="182"/>
        <v>0.25559125000094368</v>
      </c>
      <c r="AM210" t="str">
        <f t="shared" si="163"/>
        <v>1-0,0065703409263309i</v>
      </c>
      <c r="AN210">
        <f t="shared" si="183"/>
        <v>1.0000215844569997</v>
      </c>
      <c r="AO210">
        <f t="shared" si="184"/>
        <v>-6.5702463829319015E-3</v>
      </c>
      <c r="AP210" s="41" t="str">
        <f t="shared" si="185"/>
        <v>2,51195744419848-8,19425344515512i</v>
      </c>
      <c r="AQ210">
        <f t="shared" si="186"/>
        <v>18.660256183461282</v>
      </c>
      <c r="AR210" s="43">
        <f t="shared" si="187"/>
        <v>-72.957021285350322</v>
      </c>
      <c r="AS210" t="str">
        <f t="shared" si="164"/>
        <v>-0,0000166666666666667</v>
      </c>
      <c r="AT210" t="str">
        <f t="shared" si="165"/>
        <v>0,0000173193812512797i</v>
      </c>
      <c r="AU210">
        <f t="shared" si="188"/>
        <v>1.73193812512797E-5</v>
      </c>
      <c r="AV210">
        <f t="shared" si="189"/>
        <v>1.5707963267948966</v>
      </c>
      <c r="AW210" t="str">
        <f t="shared" si="166"/>
        <v>1+0,00582853390079446i</v>
      </c>
      <c r="AX210">
        <f t="shared" si="190"/>
        <v>1.0000169857594583</v>
      </c>
      <c r="AY210">
        <f t="shared" si="191"/>
        <v>5.8284679001959867E-3</v>
      </c>
      <c r="AZ210" t="str">
        <f t="shared" si="167"/>
        <v>1+1,37969723908806i</v>
      </c>
      <c r="BA210">
        <f t="shared" si="192"/>
        <v>1.7039848800817496</v>
      </c>
      <c r="BB210">
        <f t="shared" si="193"/>
        <v>0.94362140705447706</v>
      </c>
      <c r="BC210" s="41" t="str">
        <f t="shared" si="194"/>
        <v>-1,32204687726953+0,970018649120979i</v>
      </c>
      <c r="BD210">
        <f t="shared" si="195"/>
        <v>4.2954947450293117</v>
      </c>
      <c r="BE210" s="43">
        <f t="shared" si="196"/>
        <v>143.73157747070917</v>
      </c>
      <c r="BF210" s="41" t="str">
        <f t="shared" si="197"/>
        <v>1,53568789119835+4,16700757184343i</v>
      </c>
      <c r="BG210" s="20">
        <f t="shared" si="198"/>
        <v>12.949573273073922</v>
      </c>
      <c r="BH210" s="43">
        <f t="shared" si="199"/>
        <v>69.769395295001644</v>
      </c>
      <c r="BI210" s="41" t="str">
        <f t="shared" si="203"/>
        <v>4,62765316248775+13,2698327453932i</v>
      </c>
      <c r="BJ210" s="20">
        <f t="shared" si="200"/>
        <v>22.955750928490588</v>
      </c>
      <c r="BK210" s="43">
        <f t="shared" si="204"/>
        <v>70.774556185358819</v>
      </c>
      <c r="BL210">
        <f t="shared" si="201"/>
        <v>12.949573273073922</v>
      </c>
      <c r="BM210" s="43">
        <f t="shared" si="202"/>
        <v>69.769395295001644</v>
      </c>
    </row>
    <row r="211" spans="14:65" x14ac:dyDescent="0.25">
      <c r="N211" s="9">
        <v>93</v>
      </c>
      <c r="O211" s="34">
        <f t="shared" si="205"/>
        <v>851.13803820237763</v>
      </c>
      <c r="P211" s="33" t="str">
        <f t="shared" ref="P211:P274" si="206">COMPLEX(Adc,0)</f>
        <v>54,631621870174</v>
      </c>
      <c r="Q211" s="4" t="str">
        <f t="shared" ref="Q211:Q274" si="207">IMSUM(COMPLEX(1,0),IMDIV(COMPLEX(0,2*PI()*O211),COMPLEX(wp_lf,0)))</f>
        <v>1+21,314557359037i</v>
      </c>
      <c r="R211" s="4">
        <f t="shared" si="168"/>
        <v>21.338002610639975</v>
      </c>
      <c r="S211" s="4">
        <f t="shared" si="169"/>
        <v>1.5239144123443178</v>
      </c>
      <c r="T211" s="4" t="str">
        <f t="shared" ref="T211:T274" si="208">IMSUM(COMPLEX(1,0),IMDIV(COMPLEX(0,2*PI()*O211),COMPLEX(wz_esr,0)))</f>
        <v>1+0,267392900800742i</v>
      </c>
      <c r="U211" s="4">
        <f t="shared" si="170"/>
        <v>1.0351323410070015</v>
      </c>
      <c r="V211" s="4">
        <f t="shared" si="171"/>
        <v>0.26128028849601825</v>
      </c>
      <c r="W211" t="str">
        <f t="shared" ref="W211:W274" si="209">IMSUB(COMPLEX(1,0),IMDIV(COMPLEX(0,2*PI()*O211),COMPLEX(wz_rhp,0)))</f>
        <v>1-0,0212809391298441i</v>
      </c>
      <c r="X211" s="4">
        <f t="shared" si="172"/>
        <v>1.0002264135535754</v>
      </c>
      <c r="Y211" s="4">
        <f t="shared" si="173"/>
        <v>-2.1277727443490751E-2</v>
      </c>
      <c r="Z211" t="str">
        <f t="shared" ref="Z211:Z274" si="210">IMSUM(COMPLEX(1,0),IMDIV(COMPLEX(0,2*PI()*O211),COMPLEX(Q*(wsl/2),0)),IMDIV(IMPOWER(COMPLEX(0,2*PI()*O211),2),IMPOWER(COMPLEX(wsl/2,0),2)))</f>
        <v>0,99999710225616+0,00292382891529783i</v>
      </c>
      <c r="AA211" s="4">
        <f t="shared" si="174"/>
        <v>1.0000013766471738</v>
      </c>
      <c r="AB211" s="4">
        <f t="shared" si="175"/>
        <v>2.9238290560808914E-3</v>
      </c>
      <c r="AC211" s="47" t="str">
        <f t="shared" si="176"/>
        <v>0,742659701560816-2,54468517680868i</v>
      </c>
      <c r="AD211" s="20">
        <f t="shared" si="177"/>
        <v>8.4676785723726962</v>
      </c>
      <c r="AE211" s="43">
        <f t="shared" si="178"/>
        <v>-73.730253410778872</v>
      </c>
      <c r="AF211" t="str">
        <f t="shared" ref="AF211:AF274" si="211">COMPLEX($B$72,0)</f>
        <v>171,265703090588</v>
      </c>
      <c r="AG211" t="str">
        <f t="shared" ref="AG211:AG274" si="212">IMSUM(COMPLEX(1,0),IMDIV(COMPLEX(0,2*PI()*O211),COMPLEX(wp_lf_DCM,0)))</f>
        <v>1+21,1105766734613i</v>
      </c>
      <c r="AH211">
        <f t="shared" si="179"/>
        <v>21.134248211992034</v>
      </c>
      <c r="AI211">
        <f t="shared" si="180"/>
        <v>1.5234620895289765</v>
      </c>
      <c r="AJ211" t="str">
        <f t="shared" ref="AJ211:AJ274" si="213">IMSUM(COMPLEX(1,0),IMDIV(COMPLEX(0,2*PI()*O211),COMPLEX(wz1_dcm,0)))</f>
        <v>1+0,267392900800742i</v>
      </c>
      <c r="AK211">
        <f t="shared" si="181"/>
        <v>1.0351323410070015</v>
      </c>
      <c r="AL211">
        <f t="shared" si="182"/>
        <v>0.26128028849601825</v>
      </c>
      <c r="AM211" t="str">
        <f t="shared" ref="AM211:AM274" si="214">IMSUB(COMPLEX(1,0),IMDIV(COMPLEX(0,2*PI()*O211),COMPLEX(wz2_dcm,0)))</f>
        <v>1-0,00672338382680986i</v>
      </c>
      <c r="AN211">
        <f t="shared" si="183"/>
        <v>1.0000226016896232</v>
      </c>
      <c r="AO211">
        <f t="shared" si="184"/>
        <v>-6.7232825218563087E-3</v>
      </c>
      <c r="AP211" s="41" t="str">
        <f t="shared" si="185"/>
        <v>2,49415154649965-8,00922935878847i</v>
      </c>
      <c r="AQ211">
        <f t="shared" si="186"/>
        <v>18.473785827481038</v>
      </c>
      <c r="AR211" s="43">
        <f t="shared" si="187"/>
        <v>-72.702905890385935</v>
      </c>
      <c r="AS211" t="str">
        <f t="shared" ref="AS211:AS274" si="215">COMPLEX(Adc_ea,0)</f>
        <v>-0,0000166666666666667</v>
      </c>
      <c r="AT211" t="str">
        <f t="shared" ref="AT211:AT274" si="216">COMPLEX(0,2*PI()*O211*wp0_ea)</f>
        <v>0,0000177228014650732i</v>
      </c>
      <c r="AU211">
        <f t="shared" si="188"/>
        <v>1.7722801465073199E-5</v>
      </c>
      <c r="AV211">
        <f t="shared" si="189"/>
        <v>1.5707963267948966</v>
      </c>
      <c r="AW211" t="str">
        <f t="shared" ref="AW211:AW274" si="217">IMSUM(COMPLEX(1,0),IMDIV(COMPLEX(0,2*PI()*O211),COMPLEX(wp1_ea,0)))</f>
        <v>1+0,00596429789595378i</v>
      </c>
      <c r="AX211">
        <f t="shared" si="190"/>
        <v>1.0000177862665203</v>
      </c>
      <c r="AY211">
        <f t="shared" si="191"/>
        <v>5.9642271751062931E-3</v>
      </c>
      <c r="AZ211" t="str">
        <f t="shared" ref="AZ211:AZ274" si="218">IMSUM(COMPLEX(1,0),IMDIV(COMPLEX(0,2*PI()*O211),COMPLEX(wz_ea,0)))</f>
        <v>1+1,41183451622792i</v>
      </c>
      <c r="BA211">
        <f t="shared" si="192"/>
        <v>1.7301088697571969</v>
      </c>
      <c r="BB211">
        <f t="shared" si="193"/>
        <v>0.95452271254976262</v>
      </c>
      <c r="BC211" s="41" t="str">
        <f t="shared" si="194"/>
        <v>-1,3220447606923+0,948293203441604i</v>
      </c>
      <c r="BD211">
        <f t="shared" si="195"/>
        <v>4.2276417080404531</v>
      </c>
      <c r="BE211" s="43">
        <f t="shared" si="196"/>
        <v>144.34839783328957</v>
      </c>
      <c r="BF211" s="41" t="str">
        <f t="shared" si="197"/>
        <v>1,43127829064048+4,06844685307137i</v>
      </c>
      <c r="BG211" s="20">
        <f t="shared" si="198"/>
        <v>12.695320280413153</v>
      </c>
      <c r="BH211" s="43">
        <f t="shared" si="199"/>
        <v>70.618144422510767</v>
      </c>
      <c r="BI211" s="41" t="str">
        <f t="shared" si="203"/>
        <v>4,2977177813216+12,9537466708682i</v>
      </c>
      <c r="BJ211" s="20">
        <f t="shared" si="200"/>
        <v>22.701427535521475</v>
      </c>
      <c r="BK211" s="43">
        <f t="shared" si="204"/>
        <v>71.645491942903604</v>
      </c>
      <c r="BL211">
        <f t="shared" si="201"/>
        <v>12.695320280413153</v>
      </c>
      <c r="BM211" s="43">
        <f t="shared" si="202"/>
        <v>70.618144422510767</v>
      </c>
    </row>
    <row r="212" spans="14:65" x14ac:dyDescent="0.25">
      <c r="N212" s="9">
        <v>94</v>
      </c>
      <c r="O212" s="34">
        <f t="shared" si="205"/>
        <v>870.96358995608091</v>
      </c>
      <c r="P212" s="33" t="str">
        <f t="shared" si="206"/>
        <v>54,631621870174</v>
      </c>
      <c r="Q212" s="4" t="str">
        <f t="shared" si="207"/>
        <v>1+21,8110371790687i</v>
      </c>
      <c r="R212" s="4">
        <f t="shared" ref="R212:R275" si="219">IMABS(Q212)</f>
        <v>21.833949318131086</v>
      </c>
      <c r="S212" s="4">
        <f t="shared" ref="S212:S275" si="220">IMARGUMENT(Q212)</f>
        <v>1.5249800648764331</v>
      </c>
      <c r="T212" s="4" t="str">
        <f t="shared" si="208"/>
        <v>1+0,273621281575022i</v>
      </c>
      <c r="U212" s="4">
        <f t="shared" ref="U212:U275" si="221">IMABS(T212)</f>
        <v>1.0367587017868514</v>
      </c>
      <c r="V212" s="4">
        <f t="shared" ref="V212:V275" si="222">IMARGUMENT(T212)</f>
        <v>0.26708397608838824</v>
      </c>
      <c r="W212" t="str">
        <f t="shared" si="209"/>
        <v>1-0,0217766358807228i</v>
      </c>
      <c r="X212" s="4">
        <f t="shared" ref="X212:X275" si="223">IMABS(W212)</f>
        <v>1.0002370828310063</v>
      </c>
      <c r="Y212" s="4">
        <f t="shared" ref="Y212:Y275" si="224">IMARGUMENT(W212)</f>
        <v>-2.1773194540846325E-2</v>
      </c>
      <c r="Z212" t="str">
        <f t="shared" si="210"/>
        <v>0,9999969656897+0,0029919336396521i</v>
      </c>
      <c r="AA212" s="4">
        <f t="shared" ref="AA212:AA275" si="225">IMABS(Z212)</f>
        <v>1.0000014415267167</v>
      </c>
      <c r="AB212" s="4">
        <f t="shared" ref="AB212:AB275" si="226">IMARGUMENT(Z212)</f>
        <v>2.9919337905036092E-3</v>
      </c>
      <c r="AC212" s="47" t="str">
        <f t="shared" ref="AC212:AC275" si="227">(IMDIV(IMPRODUCT(P212,T212,W212),IMPRODUCT(Q212,Z212)))</f>
        <v>0,737330080361643-2,48776142065309i</v>
      </c>
      <c r="AD212" s="20">
        <f t="shared" ref="AD212:AD275" si="228">20*LOG(IMABS(AC212))</f>
        <v>8.2818362123956568</v>
      </c>
      <c r="AE212" s="43">
        <f t="shared" ref="AE212:AE275" si="229">(180/PI())*IMARGUMENT(AC212)</f>
        <v>-73.491074286054669</v>
      </c>
      <c r="AF212" t="str">
        <f t="shared" si="211"/>
        <v>171,265703090588</v>
      </c>
      <c r="AG212" t="str">
        <f t="shared" si="212"/>
        <v>1+21,6023051729585i</v>
      </c>
      <c r="AH212">
        <f t="shared" ref="AH212:AH275" si="230">IMABS(AG212)</f>
        <v>21.625438464586782</v>
      </c>
      <c r="AI212">
        <f t="shared" ref="AI212:AI275" si="231">IMARGUMENT(AG212)</f>
        <v>1.524537994064056</v>
      </c>
      <c r="AJ212" t="str">
        <f t="shared" si="213"/>
        <v>1+0,273621281575022i</v>
      </c>
      <c r="AK212">
        <f t="shared" ref="AK212:AK275" si="232">IMABS(AJ212)</f>
        <v>1.0367587017868514</v>
      </c>
      <c r="AL212">
        <f t="shared" ref="AL212:AL275" si="233">IMARGUMENT(AJ212)</f>
        <v>0.26708397608838824</v>
      </c>
      <c r="AM212" t="str">
        <f t="shared" si="214"/>
        <v>1-0,00687999155438827i</v>
      </c>
      <c r="AN212">
        <f t="shared" ref="AN212:AN275" si="234">IMABS(AM212)</f>
        <v>1.0000236668618341</v>
      </c>
      <c r="AO212">
        <f t="shared" ref="AO212:AO275" si="235">IMARGUMENT(AM212)</f>
        <v>-6.879883004313571E-3</v>
      </c>
      <c r="AP212" s="41" t="str">
        <f t="shared" ref="AP212:AP275" si="236">(IMDIV(IMPRODUCT(AF212,AJ212,AM212),IMPRODUCT(AG212)))</f>
        <v>2,47714353818056-7,82837609032422i</v>
      </c>
      <c r="AQ212">
        <f t="shared" ref="AQ212:AQ275" si="237">20*LOG(IMABS(AP212))</f>
        <v>18.287868950557829</v>
      </c>
      <c r="AR212" s="43">
        <f t="shared" ref="AR212:AR275" si="238">(180/PI())*IMARGUMENT(AP212)</f>
        <v>-72.440996421464192</v>
      </c>
      <c r="AS212" t="str">
        <f t="shared" si="215"/>
        <v>-0,0000166666666666667</v>
      </c>
      <c r="AT212" t="str">
        <f t="shared" si="216"/>
        <v>0,0000181356185427924i</v>
      </c>
      <c r="AU212">
        <f t="shared" ref="AU212:AU275" si="239">IMABS(AT212)</f>
        <v>1.81356185427924E-5</v>
      </c>
      <c r="AV212">
        <f t="shared" ref="AV212:AV275" si="240">IMARGUMENT(AT212)</f>
        <v>1.5707963267948966</v>
      </c>
      <c r="AW212" t="str">
        <f t="shared" si="217"/>
        <v>1+0,00610322424080434i</v>
      </c>
      <c r="AX212">
        <f t="shared" ref="AX212:AX275" si="241">IMABS(AW212)</f>
        <v>1.0000186244996307</v>
      </c>
      <c r="AY212">
        <f t="shared" ref="AY212:AY275" si="242">IMARGUMENT(AW212)</f>
        <v>6.1031484621271977E-3</v>
      </c>
      <c r="AZ212" t="str">
        <f t="shared" si="218"/>
        <v>1+1,44472036671611i</v>
      </c>
      <c r="BA212">
        <f t="shared" ref="BA212:BA275" si="243">IMABS(AZ212)</f>
        <v>1.7570477904725106</v>
      </c>
      <c r="BB212">
        <f t="shared" ref="BB212:BB275" si="244">IMARGUMENT(AZ212)</f>
        <v>0.96534105046298446</v>
      </c>
      <c r="BC212" s="41" t="str">
        <f t="shared" ref="BC212:BC275" si="245">IMPRODUCT(AS212,IMDIV(AZ212,IMPRODUCT(AT212,AW212)))</f>
        <v>-1,32204254437112+0,927070554180677i</v>
      </c>
      <c r="BD212">
        <f t="shared" ref="BD212:BD275" si="246">20*LOG(IMABS(BC212))</f>
        <v>4.1618372579060416</v>
      </c>
      <c r="BE212" s="43">
        <f t="shared" ref="BE212:BE275" si="247">(180/PI())*IMARGUMENT(BC212)</f>
        <v>144.96028333363276</v>
      </c>
      <c r="BF212" s="41" t="str">
        <f t="shared" ref="BF212:BF275" si="248">IMPRODUCT(AC212,BC212)</f>
        <v>1,3315486234315+3,97248344456347i</v>
      </c>
      <c r="BG212" s="20">
        <f t="shared" ref="BG212:BG275" si="249">20*LOG(IMABS(BF212))</f>
        <v>12.44367347030169</v>
      </c>
      <c r="BH212" s="43">
        <f t="shared" ref="BH212:BH275" si="250">(180/PI())*IMARGUMENT(BF212)</f>
        <v>71.469209047578062</v>
      </c>
      <c r="BI212" s="41" t="str">
        <f t="shared" si="203"/>
        <v>3,98256781440293+12,6459330774724i</v>
      </c>
      <c r="BJ212" s="20">
        <f t="shared" ref="BJ212:BJ275" si="251">20*LOG(IMABS(BI212))</f>
        <v>22.449706208463873</v>
      </c>
      <c r="BK212" s="43">
        <f t="shared" si="204"/>
        <v>72.519286912168553</v>
      </c>
      <c r="BL212">
        <f t="shared" ref="BL212:BL275" si="252">IF($B$31=0,BJ212,BG212)</f>
        <v>12.44367347030169</v>
      </c>
      <c r="BM212" s="43">
        <f t="shared" ref="BM212:BM275" si="253">IF($B$31=0,BK212,BH212)</f>
        <v>71.469209047578062</v>
      </c>
    </row>
    <row r="213" spans="14:65" x14ac:dyDescent="0.25">
      <c r="N213" s="9">
        <v>95</v>
      </c>
      <c r="O213" s="34">
        <f t="shared" si="205"/>
        <v>891.25093813374656</v>
      </c>
      <c r="P213" s="33" t="str">
        <f t="shared" si="206"/>
        <v>54,631621870174</v>
      </c>
      <c r="Q213" s="4" t="str">
        <f t="shared" si="207"/>
        <v>1+22,319081499716i</v>
      </c>
      <c r="R213" s="4">
        <f t="shared" si="219"/>
        <v>22.341472623597689</v>
      </c>
      <c r="S213" s="4">
        <f t="shared" si="220"/>
        <v>1.5260215608264929</v>
      </c>
      <c r="T213" s="4" t="str">
        <f t="shared" si="208"/>
        <v>1+0,279994739974599i</v>
      </c>
      <c r="U213" s="4">
        <f t="shared" si="221"/>
        <v>1.0384589806118696</v>
      </c>
      <c r="V213" s="4">
        <f t="shared" si="222"/>
        <v>0.27300382546005558</v>
      </c>
      <c r="W213" t="str">
        <f t="shared" si="209"/>
        <v>1-0,0222838788921933i</v>
      </c>
      <c r="X213" s="4">
        <f t="shared" si="223"/>
        <v>1.0002482548140146</v>
      </c>
      <c r="Y213" s="4">
        <f t="shared" si="224"/>
        <v>-2.2280191479507074E-2</v>
      </c>
      <c r="Z213" t="str">
        <f t="shared" si="210"/>
        <v>0,999996822687061+0,00306162472682505i</v>
      </c>
      <c r="AA213" s="4">
        <f t="shared" si="225"/>
        <v>1.0000015094639534</v>
      </c>
      <c r="AB213" s="4">
        <f t="shared" si="226"/>
        <v>3.061624888465063E-3</v>
      </c>
      <c r="AC213" s="47" t="str">
        <f t="shared" si="227"/>
        <v>0,732239147666264-2,43213475983813i</v>
      </c>
      <c r="AD213" s="20">
        <f t="shared" si="228"/>
        <v>8.0965758209579874</v>
      </c>
      <c r="AE213" s="43">
        <f t="shared" si="229"/>
        <v>-73.244607014617472</v>
      </c>
      <c r="AF213" t="str">
        <f t="shared" si="211"/>
        <v>171,265703090588</v>
      </c>
      <c r="AG213" t="str">
        <f t="shared" si="212"/>
        <v>1+22,1054875005987i</v>
      </c>
      <c r="AH213">
        <f t="shared" si="230"/>
        <v>22.128094758454132</v>
      </c>
      <c r="AI213">
        <f t="shared" si="231"/>
        <v>1.5255895115898748</v>
      </c>
      <c r="AJ213" t="str">
        <f t="shared" si="213"/>
        <v>1+0,279994739974599i</v>
      </c>
      <c r="AK213">
        <f t="shared" si="232"/>
        <v>1.0384589806118696</v>
      </c>
      <c r="AL213">
        <f t="shared" si="233"/>
        <v>0.27300382546005558</v>
      </c>
      <c r="AM213" t="str">
        <f t="shared" si="214"/>
        <v>1-0,0070402471445563i</v>
      </c>
      <c r="AN213">
        <f t="shared" si="234"/>
        <v>1.0000247822328487</v>
      </c>
      <c r="AO213">
        <f t="shared" si="235"/>
        <v>-7.0401308312113518E-3</v>
      </c>
      <c r="AP213" s="41" t="str">
        <f t="shared" si="236"/>
        <v>2,46089781600411-7,65160278565731i</v>
      </c>
      <c r="AQ213">
        <f t="shared" si="237"/>
        <v>18.102529767517211</v>
      </c>
      <c r="AR213" s="43">
        <f t="shared" si="238"/>
        <v>-72.171243077585416</v>
      </c>
      <c r="AS213" t="str">
        <f t="shared" si="215"/>
        <v>-0,0000166666666666667</v>
      </c>
      <c r="AT213" t="str">
        <f t="shared" si="216"/>
        <v>0,0000185580513655164i</v>
      </c>
      <c r="AU213">
        <f t="shared" si="239"/>
        <v>1.8558051365516401E-5</v>
      </c>
      <c r="AV213">
        <f t="shared" si="240"/>
        <v>1.5707963267948966</v>
      </c>
      <c r="AW213" t="str">
        <f t="shared" si="217"/>
        <v>1+0,00624538659593312i</v>
      </c>
      <c r="AX213">
        <f t="shared" si="241"/>
        <v>1.0000195022366978</v>
      </c>
      <c r="AY213">
        <f t="shared" si="242"/>
        <v>6.2453053977031608E-3</v>
      </c>
      <c r="AZ213" t="str">
        <f t="shared" si="218"/>
        <v>1+1,47837222706588i</v>
      </c>
      <c r="BA213">
        <f t="shared" si="243"/>
        <v>1.7848205629025371</v>
      </c>
      <c r="BB213">
        <f t="shared" si="244"/>
        <v>0.97607202781218805</v>
      </c>
      <c r="BC213" s="41" t="str">
        <f t="shared" si="245"/>
        <v>-1,32204022360591+0,906339448723525i</v>
      </c>
      <c r="BD213">
        <f t="shared" si="246"/>
        <v>4.0980493670273797</v>
      </c>
      <c r="BE213" s="43">
        <f t="shared" si="247"/>
        <v>145.56697805335563</v>
      </c>
      <c r="BF213" s="41" t="str">
        <f t="shared" si="248"/>
        <v>1,23629007093931+3,87903720716573i</v>
      </c>
      <c r="BG213" s="20">
        <f t="shared" si="249"/>
        <v>12.194625187985364</v>
      </c>
      <c r="BH213" s="43">
        <f t="shared" si="250"/>
        <v>72.322371038738069</v>
      </c>
      <c r="BI213" s="41" t="str">
        <f t="shared" si="203"/>
        <v>3,68154355166267+12,3461354276161i</v>
      </c>
      <c r="BJ213" s="20">
        <f t="shared" si="251"/>
        <v>22.200579134544604</v>
      </c>
      <c r="BK213" s="43">
        <f t="shared" si="204"/>
        <v>73.395734975770196</v>
      </c>
      <c r="BL213">
        <f t="shared" si="252"/>
        <v>12.194625187985364</v>
      </c>
      <c r="BM213" s="43">
        <f t="shared" si="253"/>
        <v>72.322371038738069</v>
      </c>
    </row>
    <row r="214" spans="14:65" x14ac:dyDescent="0.25">
      <c r="N214" s="9">
        <v>96</v>
      </c>
      <c r="O214" s="34">
        <f t="shared" si="205"/>
        <v>912.01083935590987</v>
      </c>
      <c r="P214" s="33" t="str">
        <f t="shared" si="206"/>
        <v>54,631621870174</v>
      </c>
      <c r="Q214" s="4" t="str">
        <f t="shared" si="207"/>
        <v>1+22,8389596928024i</v>
      </c>
      <c r="R214" s="4">
        <f t="shared" si="219"/>
        <v>22.860841626008714</v>
      </c>
      <c r="S214" s="4">
        <f t="shared" si="220"/>
        <v>1.527039443366492</v>
      </c>
      <c r="T214" s="4" t="str">
        <f t="shared" si="208"/>
        <v>1+0,286516655291479i</v>
      </c>
      <c r="U214" s="4">
        <f t="shared" si="221"/>
        <v>1.0402364124368153</v>
      </c>
      <c r="V214" s="4">
        <f t="shared" si="222"/>
        <v>0.27904131506024793</v>
      </c>
      <c r="W214" t="str">
        <f t="shared" si="209"/>
        <v>1-0,0228029371112143i</v>
      </c>
      <c r="X214" s="4">
        <f t="shared" si="223"/>
        <v>1.0002599531826204</v>
      </c>
      <c r="Y214" s="4">
        <f t="shared" si="224"/>
        <v>-2.2798986032791169E-2</v>
      </c>
      <c r="Z214" t="str">
        <f t="shared" si="210"/>
        <v>0,999996672944916+0,00313293912795355i</v>
      </c>
      <c r="AA214" s="4">
        <f t="shared" si="225"/>
        <v>1.0000015806029912</v>
      </c>
      <c r="AB214" s="4">
        <f t="shared" si="226"/>
        <v>3.1329393011536163E-3</v>
      </c>
      <c r="AC214" s="47" t="str">
        <f t="shared" si="227"/>
        <v>0,727376237542731-2,3777771594912i</v>
      </c>
      <c r="AD214" s="20">
        <f t="shared" si="228"/>
        <v>7.9119225131195297</v>
      </c>
      <c r="AE214" s="43">
        <f t="shared" si="229"/>
        <v>-72.990815468457384</v>
      </c>
      <c r="AF214" t="str">
        <f t="shared" si="211"/>
        <v>171,265703090588</v>
      </c>
      <c r="AG214" t="str">
        <f t="shared" si="212"/>
        <v>1+22,6203904503124i</v>
      </c>
      <c r="AH214">
        <f t="shared" si="230"/>
        <v>22.642483612108112</v>
      </c>
      <c r="AI214">
        <f t="shared" si="231"/>
        <v>1.5266171903284398</v>
      </c>
      <c r="AJ214" t="str">
        <f t="shared" si="213"/>
        <v>1+0,286516655291479i</v>
      </c>
      <c r="AK214">
        <f t="shared" si="232"/>
        <v>1.0402364124368153</v>
      </c>
      <c r="AL214">
        <f t="shared" si="233"/>
        <v>0.27904131506024793</v>
      </c>
      <c r="AM214" t="str">
        <f t="shared" si="214"/>
        <v>1-0,00720423556694904i</v>
      </c>
      <c r="AN214">
        <f t="shared" si="234"/>
        <v>1.0000259501683464</v>
      </c>
      <c r="AO214">
        <f t="shared" si="235"/>
        <v>-7.2041109351291431E-3</v>
      </c>
      <c r="AP214" s="41" t="str">
        <f t="shared" si="236"/>
        <v>2,4453803521931-7,47882042007544i</v>
      </c>
      <c r="AQ214">
        <f t="shared" si="237"/>
        <v>17.917793226378866</v>
      </c>
      <c r="AR214" s="43">
        <f t="shared" si="238"/>
        <v>-71.893597426934008</v>
      </c>
      <c r="AS214" t="str">
        <f t="shared" si="215"/>
        <v>-0,0000166666666666667</v>
      </c>
      <c r="AT214" t="str">
        <f t="shared" si="216"/>
        <v>0,0000189903239127192i</v>
      </c>
      <c r="AU214">
        <f t="shared" si="239"/>
        <v>1.89903239127192E-5</v>
      </c>
      <c r="AV214">
        <f t="shared" si="240"/>
        <v>1.5707963267948966</v>
      </c>
      <c r="AW214" t="str">
        <f t="shared" si="217"/>
        <v>1+0,0063908603377025i</v>
      </c>
      <c r="AX214">
        <f t="shared" si="241"/>
        <v>1.0000204213394124</v>
      </c>
      <c r="AY214">
        <f t="shared" si="242"/>
        <v>6.3907733323275056E-3</v>
      </c>
      <c r="AZ214" t="str">
        <f t="shared" si="218"/>
        <v>1+1,51280793993901i</v>
      </c>
      <c r="BA214">
        <f t="shared" si="243"/>
        <v>1.8134464048166716</v>
      </c>
      <c r="BB214">
        <f t="shared" si="244"/>
        <v>0.98671144860868032</v>
      </c>
      <c r="BC214" s="41" t="str">
        <f t="shared" si="245"/>
        <v>-1,32203779347514+0,886088895072434i</v>
      </c>
      <c r="BD214">
        <f t="shared" si="246"/>
        <v>4.0362446643315177</v>
      </c>
      <c r="BE214" s="43">
        <f t="shared" si="247"/>
        <v>146.16823726274987</v>
      </c>
      <c r="BF214" s="41" t="str">
        <f t="shared" si="248"/>
        <v>1,14530305987479+3,78803127593551i</v>
      </c>
      <c r="BG214" s="20">
        <f t="shared" si="249"/>
        <v>11.94816717745104</v>
      </c>
      <c r="BH214" s="43">
        <f t="shared" si="250"/>
        <v>73.177421794292428</v>
      </c>
      <c r="BI214" s="41" t="str">
        <f t="shared" si="203"/>
        <v>3,39401447744898+12,05410762026i</v>
      </c>
      <c r="BJ214" s="20">
        <f t="shared" si="251"/>
        <v>21.954037890710399</v>
      </c>
      <c r="BK214" s="43">
        <f t="shared" si="204"/>
        <v>74.274639835815876</v>
      </c>
      <c r="BL214">
        <f t="shared" si="252"/>
        <v>11.94816717745104</v>
      </c>
      <c r="BM214" s="43">
        <f t="shared" si="253"/>
        <v>73.177421794292428</v>
      </c>
    </row>
    <row r="215" spans="14:65" x14ac:dyDescent="0.25">
      <c r="N215" s="9">
        <v>97</v>
      </c>
      <c r="O215" s="34">
        <f t="shared" si="205"/>
        <v>933.25430079699106</v>
      </c>
      <c r="P215" s="33" t="str">
        <f t="shared" si="206"/>
        <v>54,631621870174</v>
      </c>
      <c r="Q215" s="4" t="str">
        <f t="shared" si="207"/>
        <v>1+23,3709474046273i</v>
      </c>
      <c r="R215" s="4">
        <f t="shared" si="219"/>
        <v>23.392331704852673</v>
      </c>
      <c r="S215" s="4">
        <f t="shared" si="220"/>
        <v>1.5280342437495216</v>
      </c>
      <c r="T215" s="4" t="str">
        <f t="shared" si="208"/>
        <v>1+0,293190485531491i</v>
      </c>
      <c r="U215" s="4">
        <f t="shared" si="221"/>
        <v>1.0420943627168278</v>
      </c>
      <c r="V215" s="4">
        <f t="shared" si="222"/>
        <v>0.2851978847616935</v>
      </c>
      <c r="W215" t="str">
        <f t="shared" si="209"/>
        <v>1-0,0233340857493244i</v>
      </c>
      <c r="X215" s="4">
        <f t="shared" si="223"/>
        <v>1.0002722027317148</v>
      </c>
      <c r="Y215" s="4">
        <f t="shared" si="224"/>
        <v>-2.3329852154738633E-2</v>
      </c>
      <c r="Z215" t="str">
        <f t="shared" si="210"/>
        <v>0,99999651614564+0,00320591465487704i</v>
      </c>
      <c r="AA215" s="4">
        <f t="shared" si="225"/>
        <v>1.0000016550947262</v>
      </c>
      <c r="AB215" s="4">
        <f t="shared" si="226"/>
        <v>3.2059148404638901E-3</v>
      </c>
      <c r="AC215" s="47" t="str">
        <f t="shared" si="227"/>
        <v>0,722731156101223-2,32466116084798i</v>
      </c>
      <c r="AD215" s="20">
        <f t="shared" si="228"/>
        <v>7.7279021588902141</v>
      </c>
      <c r="AE215" s="43">
        <f t="shared" si="229"/>
        <v>-72.729665450376288</v>
      </c>
      <c r="AF215" t="str">
        <f t="shared" si="211"/>
        <v>171,265703090588</v>
      </c>
      <c r="AG215" t="str">
        <f t="shared" si="212"/>
        <v>1+23,1472870304592i</v>
      </c>
      <c r="AH215">
        <f t="shared" si="230"/>
        <v>23.168877764588959</v>
      </c>
      <c r="AI215">
        <f t="shared" si="231"/>
        <v>1.527621566480833</v>
      </c>
      <c r="AJ215" t="str">
        <f t="shared" si="213"/>
        <v>1+0,293190485531491i</v>
      </c>
      <c r="AK215">
        <f t="shared" si="232"/>
        <v>1.0420943627168278</v>
      </c>
      <c r="AL215">
        <f t="shared" si="233"/>
        <v>0.2851978847616935</v>
      </c>
      <c r="AM215" t="str">
        <f t="shared" si="214"/>
        <v>1-0,00737204377039872i</v>
      </c>
      <c r="AN215">
        <f t="shared" si="234"/>
        <v>1.0000271731454864</v>
      </c>
      <c r="AO215">
        <f t="shared" si="235"/>
        <v>-7.3719102251936369E-3</v>
      </c>
      <c r="AP215" s="41" t="str">
        <f t="shared" si="236"/>
        <v>2,43055862587812-7,30994177308964i</v>
      </c>
      <c r="AQ215">
        <f t="shared" si="237"/>
        <v>17.733685020738399</v>
      </c>
      <c r="AR215" s="43">
        <f t="shared" si="238"/>
        <v>-71.608012672464767</v>
      </c>
      <c r="AS215" t="str">
        <f t="shared" si="215"/>
        <v>-0,0000166666666666667</v>
      </c>
      <c r="AT215" t="str">
        <f t="shared" si="216"/>
        <v>0,0000194326653810272i</v>
      </c>
      <c r="AU215">
        <f t="shared" si="239"/>
        <v>1.9432665381027199E-5</v>
      </c>
      <c r="AV215">
        <f t="shared" si="240"/>
        <v>1.5707963267948966</v>
      </c>
      <c r="AW215" t="str">
        <f t="shared" si="217"/>
        <v>1+0,00653972259821598i</v>
      </c>
      <c r="AX215">
        <f t="shared" si="241"/>
        <v>1.0000213837571983</v>
      </c>
      <c r="AY215">
        <f t="shared" si="242"/>
        <v>6.5396293703846821E-3</v>
      </c>
      <c r="AZ215" t="str">
        <f t="shared" si="218"/>
        <v>1+1,54804576360627i</v>
      </c>
      <c r="BA215">
        <f t="shared" si="243"/>
        <v>1.8429448407967397</v>
      </c>
      <c r="BB215">
        <f t="shared" si="244"/>
        <v>0.99725531910615683</v>
      </c>
      <c r="BC215" s="41" t="str">
        <f t="shared" si="245"/>
        <v>-1,3220352488254+0,866308156018085i</v>
      </c>
      <c r="BD215">
        <f t="shared" si="246"/>
        <v>3.9763885487643358</v>
      </c>
      <c r="BE215" s="43">
        <f t="shared" si="247"/>
        <v>146.76382771925199</v>
      </c>
      <c r="BF215" s="41" t="str">
        <f t="shared" si="248"/>
        <v>1,05839685983093+3,69939189135527i</v>
      </c>
      <c r="BG215" s="20">
        <f t="shared" si="249"/>
        <v>11.70429070765455</v>
      </c>
      <c r="BH215" s="43">
        <f t="shared" si="250"/>
        <v>74.034162268875633</v>
      </c>
      <c r="BI215" s="41" t="str">
        <f t="shared" si="203"/>
        <v>3,11937800029735+11,7696134521641i</v>
      </c>
      <c r="BJ215" s="20">
        <f t="shared" si="251"/>
        <v>21.710073569502754</v>
      </c>
      <c r="BK215" s="43">
        <f t="shared" si="204"/>
        <v>75.155815046787282</v>
      </c>
      <c r="BL215">
        <f t="shared" si="252"/>
        <v>11.70429070765455</v>
      </c>
      <c r="BM215" s="43">
        <f t="shared" si="253"/>
        <v>74.034162268875633</v>
      </c>
    </row>
    <row r="216" spans="14:65" x14ac:dyDescent="0.25">
      <c r="N216" s="9">
        <v>98</v>
      </c>
      <c r="O216" s="34">
        <f t="shared" si="205"/>
        <v>954.99258602143675</v>
      </c>
      <c r="P216" s="33" t="str">
        <f t="shared" si="206"/>
        <v>54,631621870174</v>
      </c>
      <c r="Q216" s="4" t="str">
        <f t="shared" si="207"/>
        <v>1+23,9153267021172i</v>
      </c>
      <c r="R216" s="4">
        <f t="shared" si="219"/>
        <v>23.936224666162371</v>
      </c>
      <c r="S216" s="4">
        <f t="shared" si="220"/>
        <v>1.5290064815515698</v>
      </c>
      <c r="T216" s="4" t="str">
        <f t="shared" si="208"/>
        <v>1+0,300019769247767i</v>
      </c>
      <c r="U216" s="4">
        <f t="shared" si="221"/>
        <v>1.0440363317143151</v>
      </c>
      <c r="V216" s="4">
        <f t="shared" si="222"/>
        <v>0.29147493130373814</v>
      </c>
      <c r="W216" t="str">
        <f t="shared" si="209"/>
        <v>1-0,0238776064285619i</v>
      </c>
      <c r="X216" s="4">
        <f t="shared" si="223"/>
        <v>1.0002850294234924</v>
      </c>
      <c r="Y216" s="4">
        <f t="shared" si="224"/>
        <v>-2.3873070120043458E-2</v>
      </c>
      <c r="Z216" t="str">
        <f t="shared" si="210"/>
        <v>0,999996351956643+0,00328059000018586i</v>
      </c>
      <c r="AA216" s="4">
        <f t="shared" si="225"/>
        <v>1.00000173309717</v>
      </c>
      <c r="AB216" s="4">
        <f t="shared" si="226"/>
        <v>3.2805901990453383E-3</v>
      </c>
      <c r="AC216" s="47" t="str">
        <f t="shared" si="227"/>
        <v>0,718294160888549-2,27275987308371i</v>
      </c>
      <c r="AD216" s="20">
        <f t="shared" si="228"/>
        <v>7.544541394573673</v>
      </c>
      <c r="AE216" s="43">
        <f t="shared" si="229"/>
        <v>-72.461124978098411</v>
      </c>
      <c r="AF216" t="str">
        <f t="shared" si="211"/>
        <v>171,265703090588</v>
      </c>
      <c r="AG216" t="str">
        <f t="shared" si="212"/>
        <v>1+23,6864566085801i</v>
      </c>
      <c r="AH216">
        <f t="shared" si="230"/>
        <v>23.70755632008807</v>
      </c>
      <c r="AI216">
        <f t="shared" si="231"/>
        <v>1.5286031644704807</v>
      </c>
      <c r="AJ216" t="str">
        <f t="shared" si="213"/>
        <v>1+0,300019769247767i</v>
      </c>
      <c r="AK216">
        <f t="shared" si="232"/>
        <v>1.0440363317143151</v>
      </c>
      <c r="AL216">
        <f t="shared" si="233"/>
        <v>0.29147493130373814</v>
      </c>
      <c r="AM216" t="str">
        <f t="shared" si="214"/>
        <v>1-0,00754376072903601i</v>
      </c>
      <c r="AN216">
        <f t="shared" si="234"/>
        <v>1.0000284537581603</v>
      </c>
      <c r="AO216">
        <f t="shared" si="235"/>
        <v>-7.54361763299054E-3</v>
      </c>
      <c r="AP216" s="41" t="str">
        <f t="shared" si="236"/>
        <v>2,41640155742561-7,14488140277768i</v>
      </c>
      <c r="AQ216">
        <f t="shared" si="237"/>
        <v>17.550231600737256</v>
      </c>
      <c r="AR216" s="43">
        <f t="shared" si="238"/>
        <v>-71.314443929561534</v>
      </c>
      <c r="AS216" t="str">
        <f t="shared" si="215"/>
        <v>-0,0000166666666666667</v>
      </c>
      <c r="AT216" t="str">
        <f t="shared" si="216"/>
        <v>0,000019885310305742i</v>
      </c>
      <c r="AU216">
        <f t="shared" si="239"/>
        <v>1.9885310305741999E-5</v>
      </c>
      <c r="AV216">
        <f t="shared" si="240"/>
        <v>1.5707963267948966</v>
      </c>
      <c r="AW216" t="str">
        <f t="shared" si="217"/>
        <v>1+0,00669205230621451i</v>
      </c>
      <c r="AX216">
        <f t="shared" si="241"/>
        <v>1.0000223915313442</v>
      </c>
      <c r="AY216">
        <f t="shared" si="242"/>
        <v>6.6919524109142941E-3</v>
      </c>
      <c r="AZ216" t="str">
        <f t="shared" si="218"/>
        <v>1+1,58410438162821i</v>
      </c>
      <c r="BA216">
        <f t="shared" si="243"/>
        <v>1.8733357125442558</v>
      </c>
      <c r="BB216">
        <f t="shared" si="244"/>
        <v>1.0076998520640752</v>
      </c>
      <c r="BC216" s="41" t="str">
        <f t="shared" si="245"/>
        <v>-1,32203258426052+0,846986743446092i</v>
      </c>
      <c r="BD216">
        <f t="shared" si="246"/>
        <v>3.9184453037263554</v>
      </c>
      <c r="BE216" s="43">
        <f t="shared" si="247"/>
        <v>147.35352790938109</v>
      </c>
      <c r="BF216" s="41" t="str">
        <f t="shared" si="248"/>
        <v>0,975389197759395+3,6130482405838i</v>
      </c>
      <c r="BG216" s="20">
        <f t="shared" si="249"/>
        <v>11.462986698300019</v>
      </c>
      <c r="BH216" s="43">
        <f t="shared" si="250"/>
        <v>74.892402931282646</v>
      </c>
      <c r="BI216" s="41" t="str">
        <f t="shared" si="203"/>
        <v>2,85705823607269+11,4924261111311i</v>
      </c>
      <c r="BJ216" s="20">
        <f t="shared" si="251"/>
        <v>21.468676904463621</v>
      </c>
      <c r="BK216" s="43">
        <f t="shared" si="204"/>
        <v>76.039083979819551</v>
      </c>
      <c r="BL216">
        <f t="shared" si="252"/>
        <v>11.462986698300019</v>
      </c>
      <c r="BM216" s="43">
        <f t="shared" si="253"/>
        <v>74.892402931282646</v>
      </c>
    </row>
    <row r="217" spans="14:65" x14ac:dyDescent="0.25">
      <c r="N217" s="9">
        <v>99</v>
      </c>
      <c r="O217" s="34">
        <f t="shared" si="205"/>
        <v>977.23722095581138</v>
      </c>
      <c r="P217" s="33" t="str">
        <f t="shared" si="206"/>
        <v>54,631621870174</v>
      </c>
      <c r="Q217" s="4" t="str">
        <f t="shared" si="207"/>
        <v>1+24,4723862223814i</v>
      </c>
      <c r="R217" s="4">
        <f t="shared" si="219"/>
        <v>24.492808891946282</v>
      </c>
      <c r="S217" s="4">
        <f t="shared" si="220"/>
        <v>1.5299566649097656</v>
      </c>
      <c r="T217" s="4" t="str">
        <f t="shared" si="208"/>
        <v>1+0,307008127416928i</v>
      </c>
      <c r="U217" s="4">
        <f t="shared" si="221"/>
        <v>1.0460659588668626</v>
      </c>
      <c r="V217" s="4">
        <f t="shared" si="222"/>
        <v>0.29787380352189491</v>
      </c>
      <c r="W217" t="str">
        <f t="shared" si="209"/>
        <v>1-0,0244337873307853i</v>
      </c>
      <c r="X217" s="4">
        <f t="shared" si="223"/>
        <v>1.0002984604423453</v>
      </c>
      <c r="Y217" s="4">
        <f t="shared" si="224"/>
        <v>-2.442892666695929E-2</v>
      </c>
      <c r="Z217" t="str">
        <f t="shared" si="210"/>
        <v>0,999996180029656+0,00335700475773651i</v>
      </c>
      <c r="AA217" s="4">
        <f t="shared" si="225"/>
        <v>1.0000018147757772</v>
      </c>
      <c r="AB217" s="4">
        <f t="shared" si="226"/>
        <v>3.35700497081782E-3</v>
      </c>
      <c r="AC217" s="47" t="str">
        <f t="shared" si="227"/>
        <v>0,714055941151364-2,22204696502617i</v>
      </c>
      <c r="AD217" s="20">
        <f t="shared" si="228"/>
        <v>7.3618676325631691</v>
      </c>
      <c r="AE217" s="43">
        <f t="shared" si="229"/>
        <v>-72.185164580610646</v>
      </c>
      <c r="AF217" t="str">
        <f t="shared" si="211"/>
        <v>171,265703090588</v>
      </c>
      <c r="AG217" t="str">
        <f t="shared" si="212"/>
        <v>1+24,2381850595222i</v>
      </c>
      <c r="AH217">
        <f t="shared" si="230"/>
        <v>24.258804895947478</v>
      </c>
      <c r="AI217">
        <f t="shared" si="231"/>
        <v>1.5295624971828909</v>
      </c>
      <c r="AJ217" t="str">
        <f t="shared" si="213"/>
        <v>1+0,307008127416928i</v>
      </c>
      <c r="AK217">
        <f t="shared" si="232"/>
        <v>1.0460659588668626</v>
      </c>
      <c r="AL217">
        <f t="shared" si="233"/>
        <v>0.29787380352189491</v>
      </c>
      <c r="AM217" t="str">
        <f t="shared" si="214"/>
        <v>1-0,0077194774894653i</v>
      </c>
      <c r="AN217">
        <f t="shared" si="234"/>
        <v>1.0000297947224923</v>
      </c>
      <c r="AO217">
        <f t="shared" si="235"/>
        <v>-7.7193241595368018E-3</v>
      </c>
      <c r="AP217" s="41" t="str">
        <f t="shared" si="236"/>
        <v>2,40287944553422-6,98355561972079i</v>
      </c>
      <c r="AQ217">
        <f t="shared" si="237"/>
        <v>17.367460182465923</v>
      </c>
      <c r="AR217" s="43">
        <f t="shared" si="238"/>
        <v>-71.012848515791646</v>
      </c>
      <c r="AS217" t="str">
        <f t="shared" si="215"/>
        <v>-0,0000166666666666667</v>
      </c>
      <c r="AT217" t="str">
        <f t="shared" si="216"/>
        <v>0,000020348498685194i</v>
      </c>
      <c r="AU217">
        <f t="shared" si="239"/>
        <v>2.0348498685193999E-5</v>
      </c>
      <c r="AV217">
        <f t="shared" si="240"/>
        <v>1.5707963267948966</v>
      </c>
      <c r="AW217" t="str">
        <f t="shared" si="217"/>
        <v>1+0,00684793022892557i</v>
      </c>
      <c r="AX217">
        <f t="shared" si="241"/>
        <v>1.0000234467993339</v>
      </c>
      <c r="AY217">
        <f t="shared" si="242"/>
        <v>6.8478231893184301E-3</v>
      </c>
      <c r="AZ217" t="str">
        <f t="shared" si="218"/>
        <v>1+1,62100291276138i</v>
      </c>
      <c r="BA217">
        <f t="shared" si="243"/>
        <v>1.9046391897629531</v>
      </c>
      <c r="BB217">
        <f t="shared" si="244"/>
        <v>1.0180414700405418</v>
      </c>
      <c r="BC217" s="41" t="str">
        <f t="shared" si="245"/>
        <v>-1,32202979413008+0,82811441277557i</v>
      </c>
      <c r="BD217">
        <f t="shared" si="246"/>
        <v>3.8623782117363858</v>
      </c>
      <c r="BE217" s="43">
        <f t="shared" si="247"/>
        <v>147.93712823501735</v>
      </c>
      <c r="BF217" s="41" t="str">
        <f t="shared" si="248"/>
        <v>0,896105888724686+3,52893230811639i</v>
      </c>
      <c r="BG217" s="20">
        <f t="shared" si="249"/>
        <v>11.224245844299567</v>
      </c>
      <c r="BH217" s="43">
        <f t="shared" si="250"/>
        <v>75.751963654406737</v>
      </c>
      <c r="BI217" s="41" t="str">
        <f t="shared" si="203"/>
        <v>2,60650484241161+11,2223276992445i</v>
      </c>
      <c r="BJ217" s="20">
        <f t="shared" si="251"/>
        <v>21.229838394202318</v>
      </c>
      <c r="BK217" s="43">
        <f t="shared" si="204"/>
        <v>76.924279719225709</v>
      </c>
      <c r="BL217">
        <f t="shared" si="252"/>
        <v>11.224245844299567</v>
      </c>
      <c r="BM217" s="43">
        <f t="shared" si="253"/>
        <v>75.751963654406737</v>
      </c>
    </row>
    <row r="218" spans="14:65" x14ac:dyDescent="0.25">
      <c r="N218" s="9">
        <v>100</v>
      </c>
      <c r="O218" s="34">
        <f t="shared" si="205"/>
        <v>1000</v>
      </c>
      <c r="P218" s="33" t="str">
        <f t="shared" si="206"/>
        <v>54,631621870174</v>
      </c>
      <c r="Q218" s="4" t="str">
        <f t="shared" si="207"/>
        <v>1+25,0424213257509i</v>
      </c>
      <c r="R218" s="4">
        <f t="shared" si="219"/>
        <v>25.062379493105269</v>
      </c>
      <c r="S218" s="4">
        <f t="shared" si="220"/>
        <v>1.5308852907570185</v>
      </c>
      <c r="T218" s="4" t="str">
        <f t="shared" si="208"/>
        <v>1+0,31415926535898i</v>
      </c>
      <c r="U218" s="4">
        <f t="shared" si="221"/>
        <v>1.0481870272097886</v>
      </c>
      <c r="V218" s="4">
        <f t="shared" si="222"/>
        <v>0.30439579736461569</v>
      </c>
      <c r="W218" t="str">
        <f t="shared" si="209"/>
        <v>1-0,0250029233504708i</v>
      </c>
      <c r="X218" s="4">
        <f t="shared" si="223"/>
        <v>1.0003125242523305</v>
      </c>
      <c r="Y218" s="4">
        <f t="shared" si="224"/>
        <v>-2.4997715143224745E-2</v>
      </c>
      <c r="Z218" t="str">
        <f t="shared" si="210"/>
        <v>0,999996+0,00343519944364491i</v>
      </c>
      <c r="AA218" s="4">
        <f t="shared" si="225"/>
        <v>1.0000019003038034</v>
      </c>
      <c r="AB218" s="4">
        <f t="shared" si="226"/>
        <v>3.4351996719651297E-3</v>
      </c>
      <c r="AC218" s="47" t="str">
        <f t="shared" si="227"/>
        <v>0,71000759893412-2,17249665677365i</v>
      </c>
      <c r="AD218" s="20">
        <f t="shared" si="228"/>
        <v>7.1799090694288425</v>
      </c>
      <c r="AE218" s="43">
        <f t="shared" si="229"/>
        <v>-71.901757606688534</v>
      </c>
      <c r="AF218" t="str">
        <f t="shared" si="211"/>
        <v>171,265703090588</v>
      </c>
      <c r="AG218" t="str">
        <f t="shared" si="212"/>
        <v>1+24,8027649170131i</v>
      </c>
      <c r="AH218">
        <f t="shared" si="230"/>
        <v>24.822915774111141</v>
      </c>
      <c r="AI218">
        <f t="shared" si="231"/>
        <v>1.5305000662018013</v>
      </c>
      <c r="AJ218" t="str">
        <f t="shared" si="213"/>
        <v>1+0,31415926535898i</v>
      </c>
      <c r="AK218">
        <f t="shared" si="232"/>
        <v>1.0481870272097886</v>
      </c>
      <c r="AL218">
        <f t="shared" si="233"/>
        <v>0.30439579736461569</v>
      </c>
      <c r="AM218" t="str">
        <f t="shared" si="214"/>
        <v>1-0,00789928721903887i</v>
      </c>
      <c r="AN218">
        <f t="shared" si="234"/>
        <v>1.0000311988825992</v>
      </c>
      <c r="AO218">
        <f t="shared" si="235"/>
        <v>-7.8991229233372449E-3</v>
      </c>
      <c r="AP218" s="41" t="str">
        <f t="shared" si="236"/>
        <v>2,38996390699132-6,82588246060677i</v>
      </c>
      <c r="AQ218">
        <f t="shared" si="237"/>
        <v>17.185398755636271</v>
      </c>
      <c r="AR218" s="43">
        <f t="shared" si="238"/>
        <v>-70.703186252706715</v>
      </c>
      <c r="AS218" t="str">
        <f t="shared" si="215"/>
        <v>-0,0000166666666666667</v>
      </c>
      <c r="AT218" t="str">
        <f t="shared" si="216"/>
        <v>0,0000208224761079932i</v>
      </c>
      <c r="AU218">
        <f t="shared" si="239"/>
        <v>2.0822476107993201E-5</v>
      </c>
      <c r="AV218">
        <f t="shared" si="240"/>
        <v>1.5707963267948966</v>
      </c>
      <c r="AW218" t="str">
        <f t="shared" si="217"/>
        <v>1+0,00700743901488707i</v>
      </c>
      <c r="AX218">
        <f t="shared" si="241"/>
        <v>1.0000245517993782</v>
      </c>
      <c r="AY218">
        <f t="shared" si="242"/>
        <v>7.007324320033678E-3</v>
      </c>
      <c r="AZ218" t="str">
        <f t="shared" si="218"/>
        <v>1+1,65876092109541i</v>
      </c>
      <c r="BA218">
        <f t="shared" si="243"/>
        <v>1.9368757816012088</v>
      </c>
      <c r="BB218">
        <f t="shared" si="244"/>
        <v>1.0282768077372604</v>
      </c>
      <c r="BC218" s="41" t="str">
        <f t="shared" si="245"/>
        <v>-1,32202687251746+0,809681157526765i</v>
      </c>
      <c r="BD218">
        <f t="shared" si="246"/>
        <v>3.8081496686429621</v>
      </c>
      <c r="BE218" s="43">
        <f t="shared" si="247"/>
        <v>148.51443114531295</v>
      </c>
      <c r="BF218" s="41" t="str">
        <f t="shared" si="248"/>
        <v>0,82038048229701+3,44697873526688i</v>
      </c>
      <c r="BG218" s="20">
        <f t="shared" si="249"/>
        <v>10.988058738071798</v>
      </c>
      <c r="BH218" s="43">
        <f t="shared" si="250"/>
        <v>76.612673538624392</v>
      </c>
      <c r="BI218" s="41" t="str">
        <f t="shared" si="203"/>
        <v>2,36719190245639+10,9591087842277i</v>
      </c>
      <c r="BJ218" s="20">
        <f t="shared" si="251"/>
        <v>20.99354842427925</v>
      </c>
      <c r="BK218" s="43">
        <f t="shared" si="204"/>
        <v>77.81124489260624</v>
      </c>
      <c r="BL218">
        <f t="shared" si="252"/>
        <v>10.988058738071798</v>
      </c>
      <c r="BM218" s="43">
        <f t="shared" si="253"/>
        <v>76.612673538624392</v>
      </c>
    </row>
    <row r="219" spans="14:65" x14ac:dyDescent="0.25">
      <c r="N219" s="9">
        <v>1</v>
      </c>
      <c r="O219" s="34">
        <f>10^(3+(N219/100))</f>
        <v>1023.2929922807547</v>
      </c>
      <c r="P219" s="33" t="str">
        <f t="shared" si="206"/>
        <v>54,631621870174</v>
      </c>
      <c r="Q219" s="4" t="str">
        <f t="shared" si="207"/>
        <v>1+25,625734252383i</v>
      </c>
      <c r="R219" s="4">
        <f t="shared" si="219"/>
        <v>25.645238465917128</v>
      </c>
      <c r="S219" s="4">
        <f t="shared" si="220"/>
        <v>1.5317928450530178</v>
      </c>
      <c r="T219" s="4" t="str">
        <f t="shared" si="208"/>
        <v>1+0,321476974701913i</v>
      </c>
      <c r="U219" s="4">
        <f t="shared" si="221"/>
        <v>1.0504034678462817</v>
      </c>
      <c r="V219" s="4">
        <f t="shared" si="222"/>
        <v>0.31104215069937274</v>
      </c>
      <c r="W219" t="str">
        <f t="shared" si="209"/>
        <v>1-0,0255853162510696i</v>
      </c>
      <c r="X219" s="4">
        <f t="shared" si="223"/>
        <v>1.0003272506573373</v>
      </c>
      <c r="Y219" s="4">
        <f t="shared" si="224"/>
        <v>-2.5579735655058458E-2</v>
      </c>
      <c r="Z219" t="str">
        <f t="shared" si="210"/>
        <v>0,999995811485808+0,00351521551776859i</v>
      </c>
      <c r="AA219" s="4">
        <f t="shared" si="225"/>
        <v>1.0000019898626682</v>
      </c>
      <c r="AB219" s="4">
        <f t="shared" si="226"/>
        <v>3.5152157624175309E-3</v>
      </c>
      <c r="AC219" s="47" t="str">
        <f t="shared" si="227"/>
        <v>0,706140630978561-2,12408371123845i</v>
      </c>
      <c r="AD219" s="20">
        <f t="shared" si="228"/>
        <v>6.9986946921239612</v>
      </c>
      <c r="AE219" s="43">
        <f t="shared" si="229"/>
        <v>-71.610880545488115</v>
      </c>
      <c r="AF219" t="str">
        <f t="shared" si="211"/>
        <v>171,265703090588</v>
      </c>
      <c r="AG219" t="str">
        <f t="shared" si="212"/>
        <v>1+25,3804955287665i</v>
      </c>
      <c r="AH219">
        <f t="shared" si="230"/>
        <v>25.40018805610967</v>
      </c>
      <c r="AI219">
        <f t="shared" si="231"/>
        <v>1.5314163620417047</v>
      </c>
      <c r="AJ219" t="str">
        <f t="shared" si="213"/>
        <v>1+0,321476974701913i</v>
      </c>
      <c r="AK219">
        <f t="shared" si="232"/>
        <v>1.0504034678462817</v>
      </c>
      <c r="AL219">
        <f t="shared" si="233"/>
        <v>0.31104215069937274</v>
      </c>
      <c r="AM219" t="str">
        <f t="shared" si="214"/>
        <v>1-0,0080832852552554i</v>
      </c>
      <c r="AN219">
        <f t="shared" si="234"/>
        <v>1.0000326692166202</v>
      </c>
      <c r="AO219">
        <f t="shared" si="235"/>
        <v>-8.0831092095499501E-3</v>
      </c>
      <c r="AP219" s="41" t="str">
        <f t="shared" si="236"/>
        <v>2,37762781898435-6,67178166156783i</v>
      </c>
      <c r="AQ219">
        <f t="shared" si="237"/>
        <v>17.00407608935177</v>
      </c>
      <c r="AR219" s="43">
        <f t="shared" si="238"/>
        <v>-70.38541977957253</v>
      </c>
      <c r="AS219" t="str">
        <f t="shared" si="215"/>
        <v>-0,0000166666666666667</v>
      </c>
      <c r="AT219" t="str">
        <f t="shared" si="216"/>
        <v>0,0000213074938832428i</v>
      </c>
      <c r="AU219">
        <f t="shared" si="239"/>
        <v>2.1307493883242799E-5</v>
      </c>
      <c r="AV219">
        <f t="shared" si="240"/>
        <v>1.5707963267948966</v>
      </c>
      <c r="AW219" t="str">
        <f t="shared" si="217"/>
        <v>1+0,00717066323776869i</v>
      </c>
      <c r="AX219">
        <f t="shared" si="241"/>
        <v>1.0000257088751616</v>
      </c>
      <c r="AY219">
        <f t="shared" si="242"/>
        <v>7.1705403401897084E-3</v>
      </c>
      <c r="AZ219" t="str">
        <f t="shared" si="218"/>
        <v>1+1,6973984264261i</v>
      </c>
      <c r="BA219">
        <f t="shared" si="243"/>
        <v>1.9700663486374768</v>
      </c>
      <c r="BB219">
        <f t="shared" si="244"/>
        <v>1.0384027134255409</v>
      </c>
      <c r="BC219" s="41" t="str">
        <f t="shared" si="245"/>
        <v>-1,32202381322732+0,791677204014943i</v>
      </c>
      <c r="BD219">
        <f t="shared" si="246"/>
        <v>3.7557212967413993</v>
      </c>
      <c r="BE219" s="43">
        <f t="shared" si="247"/>
        <v>149.08525121589491</v>
      </c>
      <c r="BF219" s="41" t="str">
        <f t="shared" si="248"/>
        <v>0,748053923965917+3,36712468791995i</v>
      </c>
      <c r="BG219" s="20">
        <f t="shared" si="249"/>
        <v>10.754415988865365</v>
      </c>
      <c r="BH219" s="43">
        <f t="shared" si="250"/>
        <v>77.474370670406813</v>
      </c>
      <c r="BI219" s="41" t="str">
        <f t="shared" si="203"/>
        <v>2,13861685593914+10,7025679771677i</v>
      </c>
      <c r="BJ219" s="20">
        <f t="shared" si="251"/>
        <v>20.759797386093179</v>
      </c>
      <c r="BK219" s="43">
        <f t="shared" si="204"/>
        <v>78.699831436322441</v>
      </c>
      <c r="BL219">
        <f t="shared" si="252"/>
        <v>10.754415988865365</v>
      </c>
      <c r="BM219" s="43">
        <f t="shared" si="253"/>
        <v>77.474370670406813</v>
      </c>
    </row>
    <row r="220" spans="14:65" x14ac:dyDescent="0.25">
      <c r="N220" s="9">
        <v>2</v>
      </c>
      <c r="O220" s="34">
        <f t="shared" ref="O220:O283" si="254">10^(3+(N220/100))</f>
        <v>1047.1285480509</v>
      </c>
      <c r="P220" s="33" t="str">
        <f t="shared" si="206"/>
        <v>54,631621870174</v>
      </c>
      <c r="Q220" s="4" t="str">
        <f t="shared" si="207"/>
        <v>1+26,2226342825124i</v>
      </c>
      <c r="R220" s="4">
        <f t="shared" si="219"/>
        <v>26.241694852169793</v>
      </c>
      <c r="S220" s="4">
        <f t="shared" si="220"/>
        <v>1.5326798030115616</v>
      </c>
      <c r="T220" s="4" t="str">
        <f t="shared" si="208"/>
        <v>1+0,328965135392085i</v>
      </c>
      <c r="U220" s="4">
        <f t="shared" si="221"/>
        <v>1.0527193644573718</v>
      </c>
      <c r="V220" s="4">
        <f t="shared" si="222"/>
        <v>0.31781403791166901</v>
      </c>
      <c r="W220" t="str">
        <f t="shared" si="209"/>
        <v>1-0,0261812748250064i</v>
      </c>
      <c r="X220" s="4">
        <f t="shared" si="223"/>
        <v>1.0003426708640706</v>
      </c>
      <c r="Y220" s="4">
        <f t="shared" si="224"/>
        <v>-2.6175295219270513E-2</v>
      </c>
      <c r="Z220" t="str">
        <f t="shared" si="210"/>
        <v>0,999995614087215+0,00359709540568916i</v>
      </c>
      <c r="AA220" s="4">
        <f t="shared" si="225"/>
        <v>1.0000020836423411</v>
      </c>
      <c r="AB220" s="4">
        <f t="shared" si="226"/>
        <v>3.5970956678345726E-3</v>
      </c>
      <c r="AC220" s="47" t="str">
        <f t="shared" si="227"/>
        <v>0,70244691139295-2,07678342563574i</v>
      </c>
      <c r="AD220" s="20">
        <f t="shared" si="228"/>
        <v>6.8182542821341166</v>
      </c>
      <c r="AE220" s="43">
        <f t="shared" si="229"/>
        <v>-71.312513359000363</v>
      </c>
      <c r="AF220" t="str">
        <f t="shared" si="211"/>
        <v>171,265703090588</v>
      </c>
      <c r="AG220" t="str">
        <f t="shared" si="212"/>
        <v>1+25,9716832151998i</v>
      </c>
      <c r="AH220">
        <f t="shared" si="230"/>
        <v>25.99092782165906</v>
      </c>
      <c r="AI220">
        <f t="shared" si="231"/>
        <v>1.532311864376712</v>
      </c>
      <c r="AJ220" t="str">
        <f t="shared" si="213"/>
        <v>1+0,328965135392085i</v>
      </c>
      <c r="AK220">
        <f t="shared" si="232"/>
        <v>1.0527193644573718</v>
      </c>
      <c r="AL220">
        <f t="shared" si="233"/>
        <v>0.31781403791166901</v>
      </c>
      <c r="AM220" t="str">
        <f t="shared" si="214"/>
        <v>1-0,0082715691563092i</v>
      </c>
      <c r="AN220">
        <f t="shared" si="234"/>
        <v>1.0000342088430314</v>
      </c>
      <c r="AO220">
        <f t="shared" si="235"/>
        <v>-8.2713805202857139E-3</v>
      </c>
      <c r="AP220" s="41" t="str">
        <f t="shared" si="236"/>
        <v>2,36584526386621-6,5211746313159i</v>
      </c>
      <c r="AQ220">
        <f t="shared" si="237"/>
        <v>16.823521735797261</v>
      </c>
      <c r="AR220" s="43">
        <f t="shared" si="238"/>
        <v>-70.05951487881795</v>
      </c>
      <c r="AS220" t="str">
        <f t="shared" si="215"/>
        <v>-0,0000166666666666667</v>
      </c>
      <c r="AT220" t="str">
        <f t="shared" si="216"/>
        <v>0,0000218038091737874i</v>
      </c>
      <c r="AU220">
        <f t="shared" si="239"/>
        <v>2.1803809173787401E-5</v>
      </c>
      <c r="AV220">
        <f t="shared" si="240"/>
        <v>1.5707963267948966</v>
      </c>
      <c r="AW220" t="str">
        <f t="shared" si="217"/>
        <v>1+0,00733768944121393i</v>
      </c>
      <c r="AX220">
        <f t="shared" si="241"/>
        <v>1.0000269204808117</v>
      </c>
      <c r="AY220">
        <f t="shared" si="242"/>
        <v>7.3375577542769436E-3</v>
      </c>
      <c r="AZ220" t="str">
        <f t="shared" si="218"/>
        <v>1+1,73693591487021i</v>
      </c>
      <c r="BA220">
        <f t="shared" si="243"/>
        <v>2.0042321153913321</v>
      </c>
      <c r="BB220">
        <f t="shared" si="244"/>
        <v>1.048416249488344</v>
      </c>
      <c r="BC220" s="41" t="str">
        <f t="shared" si="245"/>
        <v>-1,32202060977246+0,774093006167605i</v>
      </c>
      <c r="BD220">
        <f t="shared" si="246"/>
        <v>3.7050540561973562</v>
      </c>
      <c r="BE220" s="43">
        <f t="shared" si="247"/>
        <v>149.64941517736327</v>
      </c>
      <c r="BF220" s="41" t="str">
        <f t="shared" si="248"/>
        <v>0,678974230976938+3,28930973203762i</v>
      </c>
      <c r="BG220" s="20">
        <f t="shared" si="249"/>
        <v>10.523308338331478</v>
      </c>
      <c r="BH220" s="43">
        <f t="shared" si="250"/>
        <v>78.336901818362904</v>
      </c>
      <c r="BI220" s="41" t="str">
        <f t="shared" si="203"/>
        <v>1,92029947573555+10,4525115349585i</v>
      </c>
      <c r="BJ220" s="20">
        <f t="shared" si="251"/>
        <v>20.528575791994591</v>
      </c>
      <c r="BK220" s="43">
        <f t="shared" si="204"/>
        <v>79.589900298545302</v>
      </c>
      <c r="BL220">
        <f t="shared" si="252"/>
        <v>10.523308338331478</v>
      </c>
      <c r="BM220" s="43">
        <f t="shared" si="253"/>
        <v>78.336901818362904</v>
      </c>
    </row>
    <row r="221" spans="14:65" x14ac:dyDescent="0.25">
      <c r="N221" s="9">
        <v>3</v>
      </c>
      <c r="O221" s="34">
        <f t="shared" si="254"/>
        <v>1071.5193052376069</v>
      </c>
      <c r="P221" s="33" t="str">
        <f t="shared" si="206"/>
        <v>54,631621870174</v>
      </c>
      <c r="Q221" s="4" t="str">
        <f t="shared" si="207"/>
        <v>1+26,833437900436i</v>
      </c>
      <c r="R221" s="4">
        <f t="shared" si="219"/>
        <v>26.852064903030367</v>
      </c>
      <c r="S221" s="4">
        <f t="shared" si="220"/>
        <v>1.5335466293241957</v>
      </c>
      <c r="T221" s="4" t="str">
        <f t="shared" si="208"/>
        <v>1+0,33662771775141i</v>
      </c>
      <c r="U221" s="4">
        <f t="shared" si="221"/>
        <v>1.0551389578432422</v>
      </c>
      <c r="V221" s="4">
        <f t="shared" si="222"/>
        <v>0.3247125643021353</v>
      </c>
      <c r="W221" t="str">
        <f t="shared" si="209"/>
        <v>1-0,0267911150574056i</v>
      </c>
      <c r="X221" s="4">
        <f t="shared" si="223"/>
        <v>1.0003588175479932</v>
      </c>
      <c r="Y221" s="4">
        <f t="shared" si="224"/>
        <v>-2.6784707918539336E-2</v>
      </c>
      <c r="Z221" t="str">
        <f t="shared" si="210"/>
        <v>0,999995407385514+0,00368088252120701i</v>
      </c>
      <c r="AA221" s="4">
        <f t="shared" si="225"/>
        <v>1.0000021818417473</v>
      </c>
      <c r="AB221" s="4">
        <f t="shared" si="226"/>
        <v>3.6808828021001475E-3</v>
      </c>
      <c r="AC221" s="47" t="str">
        <f t="shared" si="227"/>
        <v>0,698918675059989-2,03057162293509i</v>
      </c>
      <c r="AD221" s="20">
        <f t="shared" si="228"/>
        <v>6.6386184173828378</v>
      </c>
      <c r="AE221" s="43">
        <f t="shared" si="229"/>
        <v>-71.006639826072515</v>
      </c>
      <c r="AF221" t="str">
        <f t="shared" si="211"/>
        <v>171,265703090588</v>
      </c>
      <c r="AG221" t="str">
        <f t="shared" si="212"/>
        <v>1+26,5766414318496i</v>
      </c>
      <c r="AH221">
        <f t="shared" si="230"/>
        <v>26.595448290959578</v>
      </c>
      <c r="AI221">
        <f t="shared" si="231"/>
        <v>1.5331870422657357</v>
      </c>
      <c r="AJ221" t="str">
        <f t="shared" si="213"/>
        <v>1+0,33662771775141i</v>
      </c>
      <c r="AK221">
        <f t="shared" si="232"/>
        <v>1.0551389578432422</v>
      </c>
      <c r="AL221">
        <f t="shared" si="233"/>
        <v>0.3247125643021353</v>
      </c>
      <c r="AM221" t="str">
        <f t="shared" si="214"/>
        <v>1-0,00846423875281683i</v>
      </c>
      <c r="AN221">
        <f t="shared" si="234"/>
        <v>1.0000358210272593</v>
      </c>
      <c r="AO221">
        <f t="shared" si="235"/>
        <v>-8.4640366260670327E-3</v>
      </c>
      <c r="AP221" s="41" t="str">
        <f t="shared" si="236"/>
        <v>2,35459147627612-6,37398442413239i</v>
      </c>
      <c r="AQ221">
        <f t="shared" si="237"/>
        <v>16.643766031661798</v>
      </c>
      <c r="AR221" s="43">
        <f t="shared" si="238"/>
        <v>-69.725440812907507</v>
      </c>
      <c r="AS221" t="str">
        <f t="shared" si="215"/>
        <v>-0,0000166666666666667</v>
      </c>
      <c r="AT221" t="str">
        <f t="shared" si="216"/>
        <v>0,0000223116851325635i</v>
      </c>
      <c r="AU221">
        <f t="shared" si="239"/>
        <v>2.23116851325635E-5</v>
      </c>
      <c r="AV221">
        <f t="shared" si="240"/>
        <v>1.5707963267948966</v>
      </c>
      <c r="AW221" t="str">
        <f t="shared" si="217"/>
        <v>1+0,00750860618472669i</v>
      </c>
      <c r="AX221">
        <f t="shared" si="241"/>
        <v>1.0000281891861036</v>
      </c>
      <c r="AY221">
        <f t="shared" si="242"/>
        <v>7.508465079846283E-3</v>
      </c>
      <c r="AZ221" t="str">
        <f t="shared" si="218"/>
        <v>1+1,77739434972745i</v>
      </c>
      <c r="BA221">
        <f t="shared" si="243"/>
        <v>2.039394683341865</v>
      </c>
      <c r="BB221">
        <f t="shared" si="244"/>
        <v>1.0583146921183704</v>
      </c>
      <c r="BC221" s="41" t="str">
        <f t="shared" si="245"/>
        <v>-1,32201725536006+0,756919240462402i</v>
      </c>
      <c r="BD221">
        <f t="shared" si="246"/>
        <v>3.6561083542258217</v>
      </c>
      <c r="BE221" s="43">
        <f t="shared" si="247"/>
        <v>150.20676189537315</v>
      </c>
      <c r="BF221" s="41" t="str">
        <f t="shared" si="248"/>
        <v>0,612996182013839+3,21347571643606i</v>
      </c>
      <c r="BG221" s="20">
        <f t="shared" si="249"/>
        <v>10.294726771608643</v>
      </c>
      <c r="BH221" s="43">
        <f t="shared" si="250"/>
        <v>79.200122069300633</v>
      </c>
      <c r="BI221" s="41" t="str">
        <f t="shared" si="203"/>
        <v>1,71178088807272+10,2087529859214i</v>
      </c>
      <c r="BJ221" s="20">
        <f t="shared" si="251"/>
        <v>20.299874385887584</v>
      </c>
      <c r="BK221" s="43">
        <f t="shared" si="204"/>
        <v>80.481321082465612</v>
      </c>
      <c r="BL221">
        <f t="shared" si="252"/>
        <v>10.294726771608643</v>
      </c>
      <c r="BM221" s="43">
        <f t="shared" si="253"/>
        <v>79.200122069300633</v>
      </c>
    </row>
    <row r="222" spans="14:65" x14ac:dyDescent="0.25">
      <c r="N222" s="9">
        <v>4</v>
      </c>
      <c r="O222" s="34">
        <f t="shared" si="254"/>
        <v>1096.4781961431863</v>
      </c>
      <c r="P222" s="33" t="str">
        <f t="shared" si="206"/>
        <v>54,631621870174</v>
      </c>
      <c r="Q222" s="4" t="str">
        <f t="shared" si="207"/>
        <v>1+27,458468962317i</v>
      </c>
      <c r="R222" s="4">
        <f t="shared" si="219"/>
        <v>27.476672246735522</v>
      </c>
      <c r="S222" s="4">
        <f t="shared" si="220"/>
        <v>1.5343937783801491</v>
      </c>
      <c r="T222" s="4" t="str">
        <f t="shared" si="208"/>
        <v>1+0,344468784582482i</v>
      </c>
      <c r="U222" s="4">
        <f t="shared" si="221"/>
        <v>1.0576666504866892</v>
      </c>
      <c r="V222" s="4">
        <f t="shared" si="222"/>
        <v>0.33173876028872018</v>
      </c>
      <c r="W222" t="str">
        <f t="shared" si="209"/>
        <v>1-0,0274151602936305i</v>
      </c>
      <c r="X222" s="4">
        <f t="shared" si="223"/>
        <v>1.0003757249223542</v>
      </c>
      <c r="Y222" s="4">
        <f t="shared" si="224"/>
        <v>-2.7408295059899456E-2</v>
      </c>
      <c r="Z222" t="str">
        <f t="shared" si="210"/>
        <v>0,999995190942262+0,00376662128935985i</v>
      </c>
      <c r="AA222" s="4">
        <f t="shared" si="225"/>
        <v>1.0000022846691845</v>
      </c>
      <c r="AB222" s="4">
        <f t="shared" si="226"/>
        <v>3.7666215903414458E-3</v>
      </c>
      <c r="AC222" s="47" t="str">
        <f t="shared" si="227"/>
        <v>0,695548501753749-1,98542464329138i</v>
      </c>
      <c r="AD222" s="20">
        <f t="shared" si="228"/>
        <v>6.4598184717045148</v>
      </c>
      <c r="AE222" s="43">
        <f t="shared" si="229"/>
        <v>-70.693247897599363</v>
      </c>
      <c r="AF222" t="str">
        <f t="shared" si="211"/>
        <v>171,265703090588</v>
      </c>
      <c r="AG222" t="str">
        <f t="shared" si="212"/>
        <v>1+27,19569093557i</v>
      </c>
      <c r="AH222">
        <f t="shared" si="230"/>
        <v>27.214069990779478</v>
      </c>
      <c r="AI222">
        <f t="shared" si="231"/>
        <v>1.5340423543739723</v>
      </c>
      <c r="AJ222" t="str">
        <f t="shared" si="213"/>
        <v>1+0,344468784582482i</v>
      </c>
      <c r="AK222">
        <f t="shared" si="232"/>
        <v>1.0576666504866892</v>
      </c>
      <c r="AL222">
        <f t="shared" si="233"/>
        <v>0.33173876028872018</v>
      </c>
      <c r="AM222" t="str">
        <f t="shared" si="214"/>
        <v>1-0,00866139620074865i</v>
      </c>
      <c r="AN222">
        <f t="shared" si="234"/>
        <v>1.0000375091886036</v>
      </c>
      <c r="AO222">
        <f t="shared" si="235"/>
        <v>-8.6611796184728786E-3</v>
      </c>
      <c r="AP222" s="41" t="str">
        <f t="shared" si="236"/>
        <v>2,34384279252147-6,23013571276561i</v>
      </c>
      <c r="AQ222">
        <f t="shared" si="237"/>
        <v>16.464840097103401</v>
      </c>
      <c r="AR222" s="43">
        <f t="shared" si="238"/>
        <v>-69.383170672238251</v>
      </c>
      <c r="AS222" t="str">
        <f t="shared" si="215"/>
        <v>-0,0000166666666666667</v>
      </c>
      <c r="AT222" t="str">
        <f t="shared" si="216"/>
        <v>0,0000228313910421269i</v>
      </c>
      <c r="AU222">
        <f t="shared" si="239"/>
        <v>2.2831391042126901E-5</v>
      </c>
      <c r="AV222">
        <f t="shared" si="240"/>
        <v>1.5707963267948966</v>
      </c>
      <c r="AW222" t="str">
        <f t="shared" si="217"/>
        <v>1+0,00768350409062675i</v>
      </c>
      <c r="AX222">
        <f t="shared" si="241"/>
        <v>1.0000295176819085</v>
      </c>
      <c r="AY222">
        <f t="shared" si="242"/>
        <v>7.6833528942643631E-3</v>
      </c>
      <c r="AZ222" t="str">
        <f t="shared" si="218"/>
        <v>1+1,8187951825955i</v>
      </c>
      <c r="BA222">
        <f t="shared" si="243"/>
        <v>2.0755760444350377</v>
      </c>
      <c r="BB222">
        <f t="shared" si="244"/>
        <v>1.0680955302166271</v>
      </c>
      <c r="BC222" s="41" t="str">
        <f t="shared" si="245"/>
        <v>-1,32201374287731+0,740146800982965i</v>
      </c>
      <c r="BD222">
        <f t="shared" si="246"/>
        <v>3.6088441515236163</v>
      </c>
      <c r="BE222" s="43">
        <f t="shared" si="247"/>
        <v>150.75714230484959</v>
      </c>
      <c r="BF222" s="41" t="str">
        <f t="shared" si="248"/>
        <v>0,54998102016868+3,13956666238002i</v>
      </c>
      <c r="BG222" s="20">
        <f t="shared" si="249"/>
        <v>10.068662623228139</v>
      </c>
      <c r="BH222" s="43">
        <f t="shared" si="250"/>
        <v>80.063894407250231</v>
      </c>
      <c r="BI222" s="41" t="str">
        <f t="shared" si="203"/>
        <v>1,51262263463588+9,97111277715861i</v>
      </c>
      <c r="BJ222" s="20">
        <f t="shared" si="251"/>
        <v>20.073684248627025</v>
      </c>
      <c r="BK222" s="43">
        <f t="shared" si="204"/>
        <v>81.373971632611315</v>
      </c>
      <c r="BL222">
        <f t="shared" si="252"/>
        <v>10.068662623228139</v>
      </c>
      <c r="BM222" s="43">
        <f t="shared" si="253"/>
        <v>80.063894407250231</v>
      </c>
    </row>
    <row r="223" spans="14:65" x14ac:dyDescent="0.25">
      <c r="N223" s="9">
        <v>5</v>
      </c>
      <c r="O223" s="34">
        <f t="shared" si="254"/>
        <v>1122.0184543019636</v>
      </c>
      <c r="P223" s="33" t="str">
        <f t="shared" si="206"/>
        <v>54,631621870174</v>
      </c>
      <c r="Q223" s="4" t="str">
        <f t="shared" si="207"/>
        <v>1+28,0980588678976i</v>
      </c>
      <c r="R223" s="4">
        <f t="shared" si="219"/>
        <v>28.115848060192654</v>
      </c>
      <c r="S223" s="4">
        <f t="shared" si="220"/>
        <v>1.5352216944825574</v>
      </c>
      <c r="T223" s="4" t="str">
        <f t="shared" si="208"/>
        <v>1+0,352492493322723i</v>
      </c>
      <c r="U223" s="4">
        <f t="shared" si="221"/>
        <v>1.0603070111287909</v>
      </c>
      <c r="V223" s="4">
        <f t="shared" si="222"/>
        <v>0.33889357542283366</v>
      </c>
      <c r="W223" t="str">
        <f t="shared" si="209"/>
        <v>1-0,0280537414107257i</v>
      </c>
      <c r="X223" s="4">
        <f t="shared" si="223"/>
        <v>1.0003934288104555</v>
      </c>
      <c r="Y223" s="4">
        <f t="shared" si="224"/>
        <v>-2.8046385336487435E-2</v>
      </c>
      <c r="Z223" t="str">
        <f t="shared" si="210"/>
        <v>0,999994964298353+0,00385435716997743i</v>
      </c>
      <c r="AA223" s="4">
        <f t="shared" si="225"/>
        <v>1.0000023923427672</v>
      </c>
      <c r="AB223" s="4">
        <f t="shared" si="226"/>
        <v>3.8543574924841E-3</v>
      </c>
      <c r="AC223" s="47" t="str">
        <f t="shared" si="227"/>
        <v>0,692329300936734-1,94131933546992i</v>
      </c>
      <c r="AD223" s="20">
        <f t="shared" si="228"/>
        <v>6.2818866116884049</v>
      </c>
      <c r="AE223" s="43">
        <f t="shared" si="229"/>
        <v>-70.372330062378765</v>
      </c>
      <c r="AF223" t="str">
        <f t="shared" si="211"/>
        <v>171,265703090588</v>
      </c>
      <c r="AG223" t="str">
        <f t="shared" si="212"/>
        <v>1+27,8291599546021i</v>
      </c>
      <c r="AH223">
        <f t="shared" si="230"/>
        <v>27.847120924412085</v>
      </c>
      <c r="AI223">
        <f t="shared" si="231"/>
        <v>1.5348782491906765</v>
      </c>
      <c r="AJ223" t="str">
        <f t="shared" si="213"/>
        <v>1+0,352492493322723i</v>
      </c>
      <c r="AK223">
        <f t="shared" si="232"/>
        <v>1.0603070111287909</v>
      </c>
      <c r="AL223">
        <f t="shared" si="233"/>
        <v>0.33889357542283366</v>
      </c>
      <c r="AM223" t="str">
        <f t="shared" si="214"/>
        <v>1-0,00886314603559324i</v>
      </c>
      <c r="AN223">
        <f t="shared" si="234"/>
        <v>1.0000392769074864</v>
      </c>
      <c r="AO223">
        <f t="shared" si="235"/>
        <v>-8.8629139639958519E-3</v>
      </c>
      <c r="AP223" s="41" t="str">
        <f t="shared" si="236"/>
        <v>2,33357660212936-6,08955476128477i</v>
      </c>
      <c r="AQ223">
        <f t="shared" si="237"/>
        <v>16.286775832059647</v>
      </c>
      <c r="AR223" s="43">
        <f t="shared" si="238"/>
        <v>-69.032681733552593</v>
      </c>
      <c r="AS223" t="str">
        <f t="shared" si="215"/>
        <v>-0,0000166666666666667</v>
      </c>
      <c r="AT223" t="str">
        <f t="shared" si="216"/>
        <v>0,00002336320245743i</v>
      </c>
      <c r="AU223">
        <f t="shared" si="239"/>
        <v>2.3363202457430001E-5</v>
      </c>
      <c r="AV223">
        <f t="shared" si="240"/>
        <v>1.5707963267948966</v>
      </c>
      <c r="AW223" t="str">
        <f t="shared" si="217"/>
        <v>1+0,00786247589209887i</v>
      </c>
      <c r="AX223">
        <f t="shared" si="241"/>
        <v>1.0000309087859005</v>
      </c>
      <c r="AY223">
        <f t="shared" si="242"/>
        <v>7.862313882548131E-3</v>
      </c>
      <c r="AZ223" t="str">
        <f t="shared" si="218"/>
        <v>1+1,86116036474397i</v>
      </c>
      <c r="BA223">
        <f t="shared" si="243"/>
        <v>2.112798595061514</v>
      </c>
      <c r="BB223">
        <f t="shared" si="244"/>
        <v>1.0777564635394981</v>
      </c>
      <c r="BC223" s="41" t="str">
        <f t="shared" si="245"/>
        <v>-1,32201006487637+0,723766794590068i</v>
      </c>
      <c r="BD223">
        <f t="shared" si="246"/>
        <v>3.563221065505338</v>
      </c>
      <c r="BE223" s="43">
        <f t="shared" si="247"/>
        <v>151.30041930108135</v>
      </c>
      <c r="BF223" s="41" t="str">
        <f t="shared" si="248"/>
        <v>0,489796168661601+3,0675286595701i</v>
      </c>
      <c r="BG223" s="20">
        <f t="shared" si="249"/>
        <v>9.8451076771937345</v>
      </c>
      <c r="BH223" s="43">
        <f t="shared" si="250"/>
        <v>80.928089238702583</v>
      </c>
      <c r="BI223" s="41" t="str">
        <f t="shared" si="203"/>
        <v>1,32240577488075+9,73941794228784i</v>
      </c>
      <c r="BJ223" s="20">
        <f t="shared" si="251"/>
        <v>19.849996897564989</v>
      </c>
      <c r="BK223" s="43">
        <f t="shared" si="204"/>
        <v>82.267737567528769</v>
      </c>
      <c r="BL223">
        <f t="shared" si="252"/>
        <v>9.8451076771937345</v>
      </c>
      <c r="BM223" s="43">
        <f t="shared" si="253"/>
        <v>80.928089238702583</v>
      </c>
    </row>
    <row r="224" spans="14:65" x14ac:dyDescent="0.25">
      <c r="N224" s="9">
        <v>6</v>
      </c>
      <c r="O224" s="34">
        <f t="shared" si="254"/>
        <v>1148.1536214968839</v>
      </c>
      <c r="P224" s="33" t="str">
        <f t="shared" si="206"/>
        <v>54,631621870174</v>
      </c>
      <c r="Q224" s="4" t="str">
        <f t="shared" si="207"/>
        <v>1+28,7525467362117i</v>
      </c>
      <c r="R224" s="4">
        <f t="shared" si="219"/>
        <v>28.769931244583088</v>
      </c>
      <c r="S224" s="4">
        <f t="shared" si="220"/>
        <v>1.536030812060976</v>
      </c>
      <c r="T224" s="4" t="str">
        <f t="shared" si="208"/>
        <v>1+0,360703098248712i</v>
      </c>
      <c r="U224" s="4">
        <f t="shared" si="221"/>
        <v>1.0630647793461225</v>
      </c>
      <c r="V224" s="4">
        <f t="shared" si="222"/>
        <v>0.34617787223041419</v>
      </c>
      <c r="W224" t="str">
        <f t="shared" si="209"/>
        <v>1-0,028707196992852i</v>
      </c>
      <c r="X224" s="4">
        <f t="shared" si="223"/>
        <v>1.0004119667213034</v>
      </c>
      <c r="Y224" s="4">
        <f t="shared" si="224"/>
        <v>-2.8699314992589479E-2</v>
      </c>
      <c r="Z224" t="str">
        <f t="shared" si="210"/>
        <v>0,999994726973046+0,00394413668178499i</v>
      </c>
      <c r="AA224" s="4">
        <f t="shared" si="225"/>
        <v>1.0000025050908929</v>
      </c>
      <c r="AB224" s="4">
        <f t="shared" si="226"/>
        <v>3.9441370273560787E-3</v>
      </c>
      <c r="AC224" s="47" t="str">
        <f t="shared" si="227"/>
        <v>0,68925429720939-1,89823304827953i</v>
      </c>
      <c r="AD224" s="20">
        <f t="shared" si="228"/>
        <v>6.104855790694323</v>
      </c>
      <c r="AE224" s="43">
        <f t="shared" si="229"/>
        <v>-70.043883723005294</v>
      </c>
      <c r="AF224" t="str">
        <f t="shared" si="211"/>
        <v>171,265703090588</v>
      </c>
      <c r="AG224" t="str">
        <f t="shared" si="212"/>
        <v>1+28,4773843626045i</v>
      </c>
      <c r="AH224">
        <f t="shared" si="230"/>
        <v>28.494936745595894</v>
      </c>
      <c r="AI224">
        <f t="shared" si="231"/>
        <v>1.5356951652432242</v>
      </c>
      <c r="AJ224" t="str">
        <f t="shared" si="213"/>
        <v>1+0,360703098248712i</v>
      </c>
      <c r="AK224">
        <f t="shared" si="232"/>
        <v>1.0630647793461225</v>
      </c>
      <c r="AL224">
        <f t="shared" si="233"/>
        <v>0.34617787223041419</v>
      </c>
      <c r="AM224" t="str">
        <f t="shared" si="214"/>
        <v>1-0,00906959522778352i</v>
      </c>
      <c r="AN224">
        <f t="shared" si="234"/>
        <v>1.0000411279330446</v>
      </c>
      <c r="AO224">
        <f t="shared" si="235"/>
        <v>-9.0693465591390552E-3</v>
      </c>
      <c r="AP224" s="41" t="str">
        <f t="shared" si="236"/>
        <v>2,32377130147945-5,95216939793438i</v>
      </c>
      <c r="AQ224">
        <f t="shared" si="237"/>
        <v>16.109605909702609</v>
      </c>
      <c r="AR224" s="43">
        <f t="shared" si="238"/>
        <v>-68.673955828240707</v>
      </c>
      <c r="AS224" t="str">
        <f t="shared" si="215"/>
        <v>-0,0000166666666666667</v>
      </c>
      <c r="AT224" t="str">
        <f t="shared" si="216"/>
        <v>0,0000239074013519247i</v>
      </c>
      <c r="AU224">
        <f t="shared" si="239"/>
        <v>2.39074013519247E-5</v>
      </c>
      <c r="AV224">
        <f t="shared" si="240"/>
        <v>1.5707963267948966</v>
      </c>
      <c r="AW224" t="str">
        <f t="shared" si="217"/>
        <v>1+0,00804561648236114i</v>
      </c>
      <c r="AX224">
        <f t="shared" si="241"/>
        <v>1.0000323654485295</v>
      </c>
      <c r="AY224">
        <f t="shared" si="242"/>
        <v>8.0454428863033309E-3</v>
      </c>
      <c r="AZ224" t="str">
        <f t="shared" si="218"/>
        <v>1+1,9045123587532i</v>
      </c>
      <c r="BA224">
        <f t="shared" si="243"/>
        <v>2.1510851504865345</v>
      </c>
      <c r="BB224">
        <f t="shared" si="244"/>
        <v>1.087295400145172</v>
      </c>
      <c r="BC224" s="41" t="str">
        <f t="shared" si="245"/>
        <v>-1,32200621355851+0,707770536205553i</v>
      </c>
      <c r="BD224">
        <f t="shared" si="246"/>
        <v>3.5191984699448002</v>
      </c>
      <c r="BE224" s="43">
        <f t="shared" si="247"/>
        <v>151.83646759060773</v>
      </c>
      <c r="BF224" s="41" t="str">
        <f t="shared" si="248"/>
        <v>0,432314958791187+2,99730976812552i</v>
      </c>
      <c r="BG224" s="20">
        <f t="shared" si="249"/>
        <v>9.6240542606391202</v>
      </c>
      <c r="BH224" s="43">
        <f t="shared" si="250"/>
        <v>81.792583867602431</v>
      </c>
      <c r="BI224" s="41" t="str">
        <f t="shared" si="203"/>
        <v>1,14073002691752+9,51350178828925i</v>
      </c>
      <c r="BJ224" s="20">
        <f t="shared" si="251"/>
        <v>19.628804379647406</v>
      </c>
      <c r="BK224" s="43">
        <f t="shared" si="204"/>
        <v>83.162511762367046</v>
      </c>
      <c r="BL224">
        <f t="shared" si="252"/>
        <v>9.6240542606391202</v>
      </c>
      <c r="BM224" s="43">
        <f t="shared" si="253"/>
        <v>81.792583867602431</v>
      </c>
    </row>
    <row r="225" spans="14:65" x14ac:dyDescent="0.25">
      <c r="N225" s="9">
        <v>7</v>
      </c>
      <c r="O225" s="34">
        <f t="shared" si="254"/>
        <v>1174.8975549395295</v>
      </c>
      <c r="P225" s="33" t="str">
        <f t="shared" si="206"/>
        <v>54,631621870174</v>
      </c>
      <c r="Q225" s="4" t="str">
        <f t="shared" si="207"/>
        <v>1+29,4222795853903i</v>
      </c>
      <c r="R225" s="4">
        <f t="shared" si="219"/>
        <v>29.439268605060054</v>
      </c>
      <c r="S225" s="4">
        <f t="shared" si="220"/>
        <v>1.5368215558801861</v>
      </c>
      <c r="T225" s="4" t="str">
        <f t="shared" si="208"/>
        <v>1+0,369104952731864i</v>
      </c>
      <c r="U225" s="4">
        <f t="shared" si="221"/>
        <v>1.0659448701181462</v>
      </c>
      <c r="V225" s="4">
        <f t="shared" si="222"/>
        <v>0.35359241989108947</v>
      </c>
      <c r="W225" t="str">
        <f t="shared" si="209"/>
        <v>1-0,0293758735108086i</v>
      </c>
      <c r="X225" s="4">
        <f t="shared" si="223"/>
        <v>1.0004313779288028</v>
      </c>
      <c r="Y225" s="4">
        <f t="shared" si="224"/>
        <v>-2.9367427992036479E-2</v>
      </c>
      <c r="Z225" t="str">
        <f t="shared" si="210"/>
        <v>0,999994478462942+0,00403600742706804i</v>
      </c>
      <c r="AA225" s="4">
        <f t="shared" si="225"/>
        <v>1.000002623152721</v>
      </c>
      <c r="AB225" s="4">
        <f t="shared" si="226"/>
        <v>4.036007797352973E-3</v>
      </c>
      <c r="AC225" s="47" t="str">
        <f t="shared" si="227"/>
        <v>0,686317016385171-1,85614362202619i</v>
      </c>
      <c r="AD225" s="20">
        <f t="shared" si="228"/>
        <v>5.9287597398379983</v>
      </c>
      <c r="AE225" s="43">
        <f t="shared" si="229"/>
        <v>-69.707911581054461</v>
      </c>
      <c r="AF225" t="str">
        <f t="shared" si="211"/>
        <v>171,265703090588</v>
      </c>
      <c r="AG225" t="str">
        <f t="shared" si="212"/>
        <v>1+29,1407078567387i</v>
      </c>
      <c r="AH225">
        <f t="shared" si="230"/>
        <v>29.157860936491769</v>
      </c>
      <c r="AI225">
        <f t="shared" si="231"/>
        <v>1.5364935313074652</v>
      </c>
      <c r="AJ225" t="str">
        <f t="shared" si="213"/>
        <v>1+0,369104952731864i</v>
      </c>
      <c r="AK225">
        <f t="shared" si="232"/>
        <v>1.0659448701181462</v>
      </c>
      <c r="AL225">
        <f t="shared" si="233"/>
        <v>0.35359241989108947</v>
      </c>
      <c r="AM225" t="str">
        <f t="shared" si="214"/>
        <v>1-0,00928085323941383i</v>
      </c>
      <c r="AN225">
        <f t="shared" si="234"/>
        <v>1.0000430661910773</v>
      </c>
      <c r="AO225">
        <f t="shared" si="235"/>
        <v>-9.2805867867804086E-3</v>
      </c>
      <c r="AP225" s="41" t="str">
        <f t="shared" si="236"/>
        <v>2,31440624943317-5,81790898803025i</v>
      </c>
      <c r="AQ225">
        <f t="shared" si="237"/>
        <v>15.933363766835589</v>
      </c>
      <c r="AR225" s="43">
        <f t="shared" si="238"/>
        <v>-68.306979719780131</v>
      </c>
      <c r="AS225" t="str">
        <f t="shared" si="215"/>
        <v>-0,0000166666666666667</v>
      </c>
      <c r="AT225" t="str">
        <f t="shared" si="216"/>
        <v>0,0000244642762670679i</v>
      </c>
      <c r="AU225">
        <f t="shared" si="239"/>
        <v>2.4464276267067899E-5</v>
      </c>
      <c r="AV225">
        <f t="shared" si="240"/>
        <v>1.5707963267948966</v>
      </c>
      <c r="AW225" t="str">
        <f t="shared" si="217"/>
        <v>1+0,00823302296497868i</v>
      </c>
      <c r="AX225">
        <f t="shared" si="241"/>
        <v>1.0000338907592792</v>
      </c>
      <c r="AY225">
        <f t="shared" si="242"/>
        <v>8.2328369537918861E-3</v>
      </c>
      <c r="AZ225" t="str">
        <f t="shared" si="218"/>
        <v>1+1,94887415042424i</v>
      </c>
      <c r="BA225">
        <f t="shared" si="243"/>
        <v>2.190458959714106</v>
      </c>
      <c r="BB225">
        <f t="shared" si="244"/>
        <v>1.0967104531924949</v>
      </c>
      <c r="BC225" s="41" t="str">
        <f t="shared" si="245"/>
        <v>-1,32200218075768+0,692149544206543i</v>
      </c>
      <c r="BD225">
        <f t="shared" si="246"/>
        <v>3.4767355906792714</v>
      </c>
      <c r="BE225" s="43">
        <f t="shared" si="247"/>
        <v>152.36517350493807</v>
      </c>
      <c r="BF225" s="41" t="str">
        <f t="shared" si="248"/>
        <v>0,377416369615009+2,92885992619027i</v>
      </c>
      <c r="BG225" s="20">
        <f t="shared" si="249"/>
        <v>9.4054953305172599</v>
      </c>
      <c r="BH225" s="43">
        <f t="shared" si="250"/>
        <v>82.657261923883596</v>
      </c>
      <c r="BI225" s="41" t="str">
        <f t="shared" si="203"/>
        <v>0,967212945390433+9,29320360027964i</v>
      </c>
      <c r="BJ225" s="20">
        <f t="shared" si="251"/>
        <v>19.410099357514856</v>
      </c>
      <c r="BK225" s="43">
        <f t="shared" si="204"/>
        <v>84.05819378515794</v>
      </c>
      <c r="BL225">
        <f t="shared" si="252"/>
        <v>9.4054953305172599</v>
      </c>
      <c r="BM225" s="43">
        <f t="shared" si="253"/>
        <v>82.657261923883596</v>
      </c>
    </row>
    <row r="226" spans="14:65" x14ac:dyDescent="0.25">
      <c r="N226" s="9">
        <v>8</v>
      </c>
      <c r="O226" s="34">
        <f t="shared" si="254"/>
        <v>1202.2644346174138</v>
      </c>
      <c r="P226" s="33" t="str">
        <f t="shared" si="206"/>
        <v>54,631621870174</v>
      </c>
      <c r="Q226" s="4" t="str">
        <f t="shared" si="207"/>
        <v>1+30,107612516655i</v>
      </c>
      <c r="R226" s="4">
        <f t="shared" si="219"/>
        <v>30.124215034636851</v>
      </c>
      <c r="S226" s="4">
        <f t="shared" si="220"/>
        <v>1.5375943412453039</v>
      </c>
      <c r="T226" s="4" t="str">
        <f t="shared" si="208"/>
        <v>1+0,377702511546636i</v>
      </c>
      <c r="U226" s="4">
        <f t="shared" si="221"/>
        <v>1.0689523783726929</v>
      </c>
      <c r="V226" s="4">
        <f t="shared" si="222"/>
        <v>0.36113788777094297</v>
      </c>
      <c r="W226" t="str">
        <f t="shared" si="209"/>
        <v>1-0,0300601255057363i</v>
      </c>
      <c r="X226" s="4">
        <f t="shared" si="223"/>
        <v>1.0004517035546596</v>
      </c>
      <c r="Y226" s="4">
        <f t="shared" si="224"/>
        <v>-3.0051076189987501E-2</v>
      </c>
      <c r="Z226" t="str">
        <f t="shared" si="210"/>
        <v>0,999994218240917+0,00413001811691181i</v>
      </c>
      <c r="AA226" s="4">
        <f t="shared" si="225"/>
        <v>1.0000027467786821</v>
      </c>
      <c r="AB226" s="4">
        <f t="shared" si="226"/>
        <v>4.1300185136779639E-3</v>
      </c>
      <c r="AC226" s="47" t="str">
        <f t="shared" si="227"/>
        <v>0,683511272165511-1,81502937999868i</v>
      </c>
      <c r="AD226" s="20">
        <f t="shared" si="228"/>
        <v>5.7536329557428179</v>
      </c>
      <c r="AE226" s="43">
        <f t="shared" si="229"/>
        <v>-69.364422030666788</v>
      </c>
      <c r="AF226" t="str">
        <f t="shared" si="211"/>
        <v>171,265703090588</v>
      </c>
      <c r="AG226" t="str">
        <f t="shared" si="212"/>
        <v>1+29,8194821399014i</v>
      </c>
      <c r="AH226">
        <f t="shared" si="230"/>
        <v>29.836244989808929</v>
      </c>
      <c r="AI226">
        <f t="shared" si="231"/>
        <v>1.5372737666143748</v>
      </c>
      <c r="AJ226" t="str">
        <f t="shared" si="213"/>
        <v>1+0,377702511546636i</v>
      </c>
      <c r="AK226">
        <f t="shared" si="232"/>
        <v>1.0689523783726929</v>
      </c>
      <c r="AL226">
        <f t="shared" si="233"/>
        <v>0.36113788777094297</v>
      </c>
      <c r="AM226" t="str">
        <f t="shared" si="214"/>
        <v>1-0,00949703208227833i</v>
      </c>
      <c r="AN226">
        <f t="shared" si="234"/>
        <v>1.0000450957923708</v>
      </c>
      <c r="AO226">
        <f t="shared" si="235"/>
        <v>-9.4967465738330301E-3</v>
      </c>
      <c r="AP226" s="41" t="str">
        <f t="shared" si="236"/>
        <v>2,30546172487728-5,68670440693396i</v>
      </c>
      <c r="AQ226">
        <f t="shared" si="237"/>
        <v>15.758083591026782</v>
      </c>
      <c r="AR226" s="43">
        <f t="shared" si="238"/>
        <v>-67.931745489424515</v>
      </c>
      <c r="AS226" t="str">
        <f t="shared" si="215"/>
        <v>-0,0000166666666666667</v>
      </c>
      <c r="AT226" t="str">
        <f t="shared" si="216"/>
        <v>0,000025034122465311i</v>
      </c>
      <c r="AU226">
        <f t="shared" si="239"/>
        <v>2.5034122465310999E-5</v>
      </c>
      <c r="AV226">
        <f t="shared" si="240"/>
        <v>1.5707963267948966</v>
      </c>
      <c r="AW226" t="str">
        <f t="shared" si="217"/>
        <v>1+0,00842479470534921i</v>
      </c>
      <c r="AX226">
        <f t="shared" si="241"/>
        <v>1.0000354879532163</v>
      </c>
      <c r="AY226">
        <f t="shared" si="242"/>
        <v>8.4245953911535748E-3</v>
      </c>
      <c r="AZ226" t="str">
        <f t="shared" si="218"/>
        <v>1+1,99426926096623i</v>
      </c>
      <c r="BA226">
        <f t="shared" si="243"/>
        <v>2.2309437207681402</v>
      </c>
      <c r="BB226">
        <f t="shared" si="244"/>
        <v>1.1059999371466869</v>
      </c>
      <c r="BC226" s="41" t="str">
        <f t="shared" si="245"/>
        <v>-1,32199795792318+0,676895535927403i</v>
      </c>
      <c r="BD226">
        <f t="shared" si="246"/>
        <v>3.4357915970831137</v>
      </c>
      <c r="BE226" s="43">
        <f t="shared" si="247"/>
        <v>152.88643478022109</v>
      </c>
      <c r="BF226" s="41" t="str">
        <f t="shared" si="248"/>
        <v>0,324984778877908+2,86213086281372i</v>
      </c>
      <c r="BG226" s="20">
        <f t="shared" si="249"/>
        <v>9.1894245528259173</v>
      </c>
      <c r="BH226" s="43">
        <f t="shared" si="250"/>
        <v>83.522012749554307</v>
      </c>
      <c r="BI226" s="41" t="str">
        <f t="shared" si="203"/>
        <v>0,801489134834471+9,07836836310037i</v>
      </c>
      <c r="BJ226" s="20">
        <f t="shared" si="251"/>
        <v>19.193875188109896</v>
      </c>
      <c r="BK226" s="43">
        <f t="shared" si="204"/>
        <v>84.954689290796594</v>
      </c>
      <c r="BL226">
        <f t="shared" si="252"/>
        <v>9.1894245528259173</v>
      </c>
      <c r="BM226" s="43">
        <f t="shared" si="253"/>
        <v>83.522012749554307</v>
      </c>
    </row>
    <row r="227" spans="14:65" x14ac:dyDescent="0.25">
      <c r="N227" s="9">
        <v>9</v>
      </c>
      <c r="O227" s="34">
        <f t="shared" si="254"/>
        <v>1230.2687708123824</v>
      </c>
      <c r="P227" s="33" t="str">
        <f t="shared" si="206"/>
        <v>54,631621870174</v>
      </c>
      <c r="Q227" s="4" t="str">
        <f t="shared" si="207"/>
        <v>1+30,8089089025974i</v>
      </c>
      <c r="R227" s="4">
        <f t="shared" si="219"/>
        <v>30.825133702362841</v>
      </c>
      <c r="S227" s="4">
        <f t="shared" si="220"/>
        <v>1.5383495742032067</v>
      </c>
      <c r="T227" s="4" t="str">
        <f t="shared" si="208"/>
        <v>1+0,386500333232512i</v>
      </c>
      <c r="U227" s="4">
        <f t="shared" si="221"/>
        <v>1.0720925834967998</v>
      </c>
      <c r="V227" s="4">
        <f t="shared" si="222"/>
        <v>0.36881483882693084</v>
      </c>
      <c r="W227" t="str">
        <f t="shared" si="209"/>
        <v>1-0,0307603157770999i</v>
      </c>
      <c r="X227" s="4">
        <f t="shared" si="223"/>
        <v>1.0004729866551654</v>
      </c>
      <c r="Y227" s="4">
        <f t="shared" si="224"/>
        <v>-3.0750619508143819E-2</v>
      </c>
      <c r="Z227" t="str">
        <f t="shared" si="210"/>
        <v>0,999993945755006+0,00422621859702841i</v>
      </c>
      <c r="AA227" s="4">
        <f t="shared" si="225"/>
        <v>1.0000028762310116</v>
      </c>
      <c r="AB227" s="4">
        <f t="shared" si="226"/>
        <v>4.2262190221695438E-3</v>
      </c>
      <c r="AC227" s="47" t="str">
        <f t="shared" si="227"/>
        <v>0,680831153389719-1,77486911999673i</v>
      </c>
      <c r="AD227" s="20">
        <f t="shared" si="228"/>
        <v>5.5795106848554319</v>
      </c>
      <c r="AE227" s="43">
        <f t="shared" si="229"/>
        <v>-69.013429559507628</v>
      </c>
      <c r="AF227" t="str">
        <f t="shared" si="211"/>
        <v>171,265703090588</v>
      </c>
      <c r="AG227" t="str">
        <f t="shared" si="212"/>
        <v>1+30,5140671072022i</v>
      </c>
      <c r="AH227">
        <f t="shared" si="230"/>
        <v>30.530448595178544</v>
      </c>
      <c r="AI227">
        <f t="shared" si="231"/>
        <v>1.5380362810530157</v>
      </c>
      <c r="AJ227" t="str">
        <f t="shared" si="213"/>
        <v>1+0,386500333232512i</v>
      </c>
      <c r="AK227">
        <f t="shared" si="232"/>
        <v>1.0720925834967998</v>
      </c>
      <c r="AL227">
        <f t="shared" si="233"/>
        <v>0.36881483882693084</v>
      </c>
      <c r="AM227" t="str">
        <f t="shared" si="214"/>
        <v>1-0,0097182463772609i</v>
      </c>
      <c r="AN227">
        <f t="shared" si="234"/>
        <v>1.0000472210414113</v>
      </c>
      <c r="AO227">
        <f t="shared" si="235"/>
        <v>-9.717940450230134E-3</v>
      </c>
      <c r="AP227" s="41" t="str">
        <f t="shared" si="236"/>
        <v>2,29691888610288-5,55848801313991i</v>
      </c>
      <c r="AQ227">
        <f t="shared" si="237"/>
        <v>15.583800304276263</v>
      </c>
      <c r="AR227" s="43">
        <f t="shared" si="238"/>
        <v>-67.548250929111518</v>
      </c>
      <c r="AS227" t="str">
        <f t="shared" si="215"/>
        <v>-0,0000166666666666667</v>
      </c>
      <c r="AT227" t="str">
        <f t="shared" si="216"/>
        <v>0,0000256172420866509i</v>
      </c>
      <c r="AU227">
        <f t="shared" si="239"/>
        <v>2.5617242086650899E-5</v>
      </c>
      <c r="AV227">
        <f t="shared" si="240"/>
        <v>1.5707963267948966</v>
      </c>
      <c r="AW227" t="str">
        <f t="shared" si="217"/>
        <v>1+0,00862103338338784i</v>
      </c>
      <c r="AX227">
        <f t="shared" si="241"/>
        <v>1.0000371604178504</v>
      </c>
      <c r="AY227">
        <f t="shared" si="242"/>
        <v>8.6208198148080232E-3</v>
      </c>
      <c r="AZ227" t="str">
        <f t="shared" si="218"/>
        <v>1+2,04072175946766i</v>
      </c>
      <c r="BA227">
        <f t="shared" si="243"/>
        <v>2.2725635963740998</v>
      </c>
      <c r="BB227">
        <f t="shared" si="244"/>
        <v>1.1151623634471792</v>
      </c>
      <c r="BC227" s="41" t="str">
        <f t="shared" si="245"/>
        <v>-1,32199353610153+0,662000423267208i</v>
      </c>
      <c r="BD227">
        <f t="shared" si="246"/>
        <v>3.3963256890718805</v>
      </c>
      <c r="BE227" s="43">
        <f t="shared" si="247"/>
        <v>153.40016030602615</v>
      </c>
      <c r="BF227" s="41" t="str">
        <f t="shared" si="248"/>
        <v>0,274909724723974+2,79707601577938i</v>
      </c>
      <c r="BG227" s="20">
        <f t="shared" si="249"/>
        <v>8.9758363739273026</v>
      </c>
      <c r="BH227" s="43">
        <f t="shared" si="250"/>
        <v>84.386730746518538</v>
      </c>
      <c r="BI227" s="41" t="str">
        <f t="shared" si="203"/>
        <v>0,643209497046788+8,86884649867935i</v>
      </c>
      <c r="BJ227" s="20">
        <f t="shared" si="251"/>
        <v>18.980125993348146</v>
      </c>
      <c r="BK227" s="43">
        <f t="shared" si="204"/>
        <v>85.851909376914648</v>
      </c>
      <c r="BL227">
        <f t="shared" si="252"/>
        <v>8.9758363739273026</v>
      </c>
      <c r="BM227" s="43">
        <f t="shared" si="253"/>
        <v>84.386730746518538</v>
      </c>
    </row>
    <row r="228" spans="14:65" x14ac:dyDescent="0.25">
      <c r="N228" s="9">
        <v>10</v>
      </c>
      <c r="O228" s="34">
        <f t="shared" si="254"/>
        <v>1258.925411794168</v>
      </c>
      <c r="P228" s="33" t="str">
        <f t="shared" si="206"/>
        <v>54,631621870174</v>
      </c>
      <c r="Q228" s="4" t="str">
        <f t="shared" si="207"/>
        <v>1+31,526540579844i</v>
      </c>
      <c r="R228" s="4">
        <f t="shared" si="219"/>
        <v>31.542396245887069</v>
      </c>
      <c r="S228" s="4">
        <f t="shared" si="220"/>
        <v>1.5390876517402963</v>
      </c>
      <c r="T228" s="4" t="str">
        <f t="shared" si="208"/>
        <v>1+0,395503082511007i</v>
      </c>
      <c r="U228" s="4">
        <f t="shared" si="221"/>
        <v>1.0753709537995289</v>
      </c>
      <c r="V228" s="4">
        <f t="shared" si="222"/>
        <v>0.37662372290357143</v>
      </c>
      <c r="W228" t="str">
        <f t="shared" si="209"/>
        <v>1-0,0314768155750495i</v>
      </c>
      <c r="X228" s="4">
        <f t="shared" si="223"/>
        <v>1.0004952723120413</v>
      </c>
      <c r="Y228" s="4">
        <f t="shared" si="224"/>
        <v>-3.1466426113432804E-2</v>
      </c>
      <c r="Z228" t="str">
        <f t="shared" si="210"/>
        <v>0,99999366042723+0,00432465987418577i</v>
      </c>
      <c r="AA228" s="4">
        <f t="shared" si="225"/>
        <v>1.0000030117843033</v>
      </c>
      <c r="AB228" s="4">
        <f t="shared" si="226"/>
        <v>4.3246603297310629E-3</v>
      </c>
      <c r="AC228" s="47" t="str">
        <f t="shared" si="227"/>
        <v>0,678271011835949-1,73564210591111i</v>
      </c>
      <c r="AD228" s="20">
        <f t="shared" si="228"/>
        <v>5.4064289041247804</v>
      </c>
      <c r="AE228" s="43">
        <f t="shared" si="229"/>
        <v>-68.654955155921584</v>
      </c>
      <c r="AF228" t="str">
        <f t="shared" si="211"/>
        <v>171,265703090588</v>
      </c>
      <c r="AG228" t="str">
        <f t="shared" si="212"/>
        <v>1+31,2248310367847i</v>
      </c>
      <c r="AH228">
        <f t="shared" si="230"/>
        <v>31.240839829872581</v>
      </c>
      <c r="AI228">
        <f t="shared" si="231"/>
        <v>1.5387814753698295</v>
      </c>
      <c r="AJ228" t="str">
        <f t="shared" si="213"/>
        <v>1+0,395503082511007i</v>
      </c>
      <c r="AK228">
        <f t="shared" si="232"/>
        <v>1.0753709537995289</v>
      </c>
      <c r="AL228">
        <f t="shared" si="233"/>
        <v>0.37662372290357143</v>
      </c>
      <c r="AM228" t="str">
        <f t="shared" si="214"/>
        <v>1-0,00994461341510891i</v>
      </c>
      <c r="AN228">
        <f t="shared" si="234"/>
        <v>1.0000494464455125</v>
      </c>
      <c r="AO228">
        <f t="shared" si="235"/>
        <v>-9.9442856092648267E-3</v>
      </c>
      <c r="AP228" s="41" t="str">
        <f t="shared" si="236"/>
        <v>2,28875973194391-5,43319362150568i</v>
      </c>
      <c r="AQ228">
        <f t="shared" si="237"/>
        <v>15.410549543014758</v>
      </c>
      <c r="AR228" s="43">
        <f t="shared" si="238"/>
        <v>-67.15649994040966</v>
      </c>
      <c r="AS228" t="str">
        <f t="shared" si="215"/>
        <v>-0,0000166666666666667</v>
      </c>
      <c r="AT228" t="str">
        <f t="shared" si="216"/>
        <v>0,0000262139443088295i</v>
      </c>
      <c r="AU228">
        <f t="shared" si="239"/>
        <v>2.62139443088295E-5</v>
      </c>
      <c r="AV228">
        <f t="shared" si="240"/>
        <v>1.5707963267948966</v>
      </c>
      <c r="AW228" t="str">
        <f t="shared" si="217"/>
        <v>1+0,00882184304743922i</v>
      </c>
      <c r="AX228">
        <f t="shared" si="241"/>
        <v>1.0000389117003166</v>
      </c>
      <c r="AY228">
        <f t="shared" si="242"/>
        <v>8.8216142050638619E-3</v>
      </c>
      <c r="AZ228" t="str">
        <f t="shared" si="218"/>
        <v>1+2,08825627565811i</v>
      </c>
      <c r="BA228">
        <f t="shared" si="243"/>
        <v>2.315343230025622</v>
      </c>
      <c r="BB228">
        <f t="shared" si="244"/>
        <v>1.1241964356929992</v>
      </c>
      <c r="BC228" s="41" t="str">
        <f t="shared" si="245"/>
        <v>-1,32198890591755+0,647456308400223i</v>
      </c>
      <c r="BD228">
        <f t="shared" si="246"/>
        <v>3.3582971794465339</v>
      </c>
      <c r="BE228" s="43">
        <f t="shared" si="247"/>
        <v>153.90626984641628</v>
      </c>
      <c r="BF228" s="41" t="str">
        <f t="shared" si="248"/>
        <v>0,2270856777446+2,73365045407605i</v>
      </c>
      <c r="BG228" s="20">
        <f t="shared" si="249"/>
        <v>8.7647260835713219</v>
      </c>
      <c r="BH228" s="43">
        <f t="shared" si="250"/>
        <v>85.251314690494709</v>
      </c>
      <c r="BI228" s="41" t="str">
        <f t="shared" si="203"/>
        <v>0,492040511063031+8,66449361819199i</v>
      </c>
      <c r="BJ228" s="20">
        <f t="shared" si="251"/>
        <v>18.768846722461287</v>
      </c>
      <c r="BK228" s="43">
        <f t="shared" si="204"/>
        <v>86.74976990600662</v>
      </c>
      <c r="BL228">
        <f t="shared" si="252"/>
        <v>8.7647260835713219</v>
      </c>
      <c r="BM228" s="43">
        <f t="shared" si="253"/>
        <v>85.251314690494709</v>
      </c>
    </row>
    <row r="229" spans="14:65" x14ac:dyDescent="0.25">
      <c r="N229" s="9">
        <v>11</v>
      </c>
      <c r="O229" s="34">
        <f t="shared" si="254"/>
        <v>1288.2495516931347</v>
      </c>
      <c r="P229" s="33" t="str">
        <f t="shared" si="206"/>
        <v>54,631621870174</v>
      </c>
      <c r="Q229" s="4" t="str">
        <f t="shared" si="207"/>
        <v>1+32,2608880462092i</v>
      </c>
      <c r="R229" s="4">
        <f t="shared" si="219"/>
        <v>32.276382968511882</v>
      </c>
      <c r="S229" s="4">
        <f t="shared" si="220"/>
        <v>1.5398089619766215</v>
      </c>
      <c r="T229" s="4" t="str">
        <f t="shared" si="208"/>
        <v>1+0,40471553275895i</v>
      </c>
      <c r="U229" s="4">
        <f t="shared" si="221"/>
        <v>1.078793150912797</v>
      </c>
      <c r="V229" s="4">
        <f t="shared" si="222"/>
        <v>0.38456486994524458</v>
      </c>
      <c r="W229" t="str">
        <f t="shared" si="209"/>
        <v>1-0,0322100047972618i</v>
      </c>
      <c r="X229" s="4">
        <f t="shared" si="223"/>
        <v>1.0005186077275323</v>
      </c>
      <c r="Y229" s="4">
        <f t="shared" si="224"/>
        <v>-3.2198872600198367E-2</v>
      </c>
      <c r="Z229" t="str">
        <f t="shared" si="210"/>
        <v>0,99999336165237+0,00442539414325206i</v>
      </c>
      <c r="AA229" s="4">
        <f t="shared" si="225"/>
        <v>1.0000031537260923</v>
      </c>
      <c r="AB229" s="4">
        <f t="shared" si="226"/>
        <v>4.4253946313757989E-3</v>
      </c>
      <c r="AC229" s="47" t="str">
        <f t="shared" si="227"/>
        <v>0,675825450550153-1,6973280593643i</v>
      </c>
      <c r="AD229" s="20">
        <f t="shared" si="228"/>
        <v>5.2344242978488893</v>
      </c>
      <c r="AE229" s="43">
        <f t="shared" si="229"/>
        <v>-68.289026720949195</v>
      </c>
      <c r="AF229" t="str">
        <f t="shared" si="211"/>
        <v>171,265703090588</v>
      </c>
      <c r="AG229" t="str">
        <f t="shared" si="212"/>
        <v>1+31,9521507850924i</v>
      </c>
      <c r="AH229">
        <f t="shared" si="230"/>
        <v>31.967795353969606</v>
      </c>
      <c r="AI229">
        <f t="shared" si="231"/>
        <v>1.539509741364276</v>
      </c>
      <c r="AJ229" t="str">
        <f t="shared" si="213"/>
        <v>1+0,40471553275895i</v>
      </c>
      <c r="AK229">
        <f t="shared" si="232"/>
        <v>1.078793150912797</v>
      </c>
      <c r="AL229">
        <f t="shared" si="233"/>
        <v>0.38456486994524458</v>
      </c>
      <c r="AM229" t="str">
        <f t="shared" si="214"/>
        <v>1-0,0101762532186221i</v>
      </c>
      <c r="AN229">
        <f t="shared" si="234"/>
        <v>1.0000517767243702</v>
      </c>
      <c r="AO229">
        <f t="shared" si="235"/>
        <v>-1.0175901969313972E-2</v>
      </c>
      <c r="AP229" s="41" t="str">
        <f t="shared" si="236"/>
        <v>2,28096706460166-5,31075647665349i</v>
      </c>
      <c r="AQ229">
        <f t="shared" si="237"/>
        <v>15.23836763423671</v>
      </c>
      <c r="AR229" s="43">
        <f t="shared" si="238"/>
        <v>-66.756502938170613</v>
      </c>
      <c r="AS229" t="str">
        <f t="shared" si="215"/>
        <v>-0,0000166666666666667</v>
      </c>
      <c r="AT229" t="str">
        <f t="shared" si="216"/>
        <v>0,0000268245455112632i</v>
      </c>
      <c r="AU229">
        <f t="shared" si="239"/>
        <v>2.6824545511263199E-5</v>
      </c>
      <c r="AV229">
        <f t="shared" si="240"/>
        <v>1.5707963267948966</v>
      </c>
      <c r="AW229" t="str">
        <f t="shared" si="217"/>
        <v>1+0,00902733016944524i</v>
      </c>
      <c r="AX229">
        <f t="shared" si="241"/>
        <v>1.0000407455148956</v>
      </c>
      <c r="AY229">
        <f t="shared" si="242"/>
        <v>9.0270849609617732E-3</v>
      </c>
      <c r="AZ229" t="str">
        <f t="shared" si="218"/>
        <v>1+2,13689801296725i</v>
      </c>
      <c r="BA229">
        <f t="shared" si="243"/>
        <v>2.3593077624217198</v>
      </c>
      <c r="BB229">
        <f t="shared" si="244"/>
        <v>1.1331010444007528</v>
      </c>
      <c r="BC229" s="41" t="str">
        <f t="shared" si="245"/>
        <v>-1,32198405755449+0,633255479587246i</v>
      </c>
      <c r="BD229">
        <f t="shared" si="246"/>
        <v>3.3216655714351822</v>
      </c>
      <c r="BE229" s="43">
        <f t="shared" si="247"/>
        <v>154.40469373645973</v>
      </c>
      <c r="BF229" s="41" t="str">
        <f t="shared" si="248"/>
        <v>0,181411822932747+2,67181080472491i</v>
      </c>
      <c r="BG229" s="20">
        <f t="shared" si="249"/>
        <v>8.5560898692840723</v>
      </c>
      <c r="BH229" s="43">
        <f t="shared" si="250"/>
        <v>86.115667015510553</v>
      </c>
      <c r="BI229" s="41" t="str">
        <f t="shared" si="203"/>
        <v>0,347663544384021+8,4651702881072i</v>
      </c>
      <c r="BJ229" s="20">
        <f t="shared" si="251"/>
        <v>18.560033205671886</v>
      </c>
      <c r="BK229" s="43">
        <f t="shared" si="204"/>
        <v>87.648190798289136</v>
      </c>
      <c r="BL229">
        <f t="shared" si="252"/>
        <v>8.5560898692840723</v>
      </c>
      <c r="BM229" s="43">
        <f t="shared" si="253"/>
        <v>86.115667015510553</v>
      </c>
    </row>
    <row r="230" spans="14:65" x14ac:dyDescent="0.25">
      <c r="N230" s="9">
        <v>12</v>
      </c>
      <c r="O230" s="34">
        <f t="shared" si="254"/>
        <v>1318.2567385564089</v>
      </c>
      <c r="P230" s="33" t="str">
        <f t="shared" si="206"/>
        <v>54,631621870174</v>
      </c>
      <c r="Q230" s="4" t="str">
        <f t="shared" si="207"/>
        <v>1+33,0123406624399i</v>
      </c>
      <c r="R230" s="4">
        <f t="shared" si="219"/>
        <v>33.027483040840131</v>
      </c>
      <c r="S230" s="4">
        <f t="shared" si="220"/>
        <v>1.5405138843563855</v>
      </c>
      <c r="T230" s="4" t="str">
        <f t="shared" si="208"/>
        <v>1+0,414142568539406i</v>
      </c>
      <c r="U230" s="4">
        <f t="shared" si="221"/>
        <v>1.0823650341157629</v>
      </c>
      <c r="V230" s="4">
        <f t="shared" si="222"/>
        <v>0.39263848315031158</v>
      </c>
      <c r="W230" t="str">
        <f t="shared" si="209"/>
        <v>1-0,0329602721903675i</v>
      </c>
      <c r="X230" s="4">
        <f t="shared" si="223"/>
        <v>1.0005430423239488</v>
      </c>
      <c r="Y230" s="4">
        <f t="shared" si="224"/>
        <v>-3.2948344175934952E-2</v>
      </c>
      <c r="Z230" t="str">
        <f t="shared" si="210"/>
        <v>0,999993048796685+0,00452847481487013i</v>
      </c>
      <c r="AA230" s="4">
        <f t="shared" si="225"/>
        <v>1.0000033023574664</v>
      </c>
      <c r="AB230" s="4">
        <f t="shared" si="226"/>
        <v>4.5284753379020749E-3</v>
      </c>
      <c r="AC230" s="47" t="str">
        <f t="shared" si="227"/>
        <v>0,67348931268094-1,65990715141971i</v>
      </c>
      <c r="AD230" s="20">
        <f t="shared" si="228"/>
        <v>5.0635342305015731</v>
      </c>
      <c r="AE230" s="43">
        <f t="shared" si="229"/>
        <v>-67.915679483710505</v>
      </c>
      <c r="AF230" t="str">
        <f t="shared" si="211"/>
        <v>171,265703090588</v>
      </c>
      <c r="AG230" t="str">
        <f t="shared" si="212"/>
        <v>1+32,6964119866831i</v>
      </c>
      <c r="AH230">
        <f t="shared" si="230"/>
        <v>32.71170061007092</v>
      </c>
      <c r="AI230">
        <f t="shared" si="231"/>
        <v>1.540221462080847</v>
      </c>
      <c r="AJ230" t="str">
        <f t="shared" si="213"/>
        <v>1+0,414142568539406i</v>
      </c>
      <c r="AK230">
        <f t="shared" si="232"/>
        <v>1.0823650341157629</v>
      </c>
      <c r="AL230">
        <f t="shared" si="233"/>
        <v>0.39263848315031158</v>
      </c>
      <c r="AM230" t="str">
        <f t="shared" si="214"/>
        <v>1-0,0104132886062905i</v>
      </c>
      <c r="AN230">
        <f t="shared" si="234"/>
        <v>1.000054216820067</v>
      </c>
      <c r="AO230">
        <f t="shared" si="235"/>
        <v>-1.0412912236977906E-2</v>
      </c>
      <c r="AP230" s="41" t="str">
        <f t="shared" si="236"/>
        <v>2,27352445408526-5,19111322656857i</v>
      </c>
      <c r="AQ230">
        <f t="shared" si="237"/>
        <v>15.067291567578415</v>
      </c>
      <c r="AR230" s="43">
        <f t="shared" si="238"/>
        <v>-66.348277257389142</v>
      </c>
      <c r="AS230" t="str">
        <f t="shared" si="215"/>
        <v>-0,0000166666666666667</v>
      </c>
      <c r="AT230" t="str">
        <f t="shared" si="216"/>
        <v>0,0000274493694427918i</v>
      </c>
      <c r="AU230">
        <f t="shared" si="239"/>
        <v>2.74493694427918E-5</v>
      </c>
      <c r="AV230">
        <f t="shared" si="240"/>
        <v>1.5707963267948966</v>
      </c>
      <c r="AW230" t="str">
        <f t="shared" si="217"/>
        <v>1+0,00923760370139796i</v>
      </c>
      <c r="AX230">
        <f t="shared" si="241"/>
        <v>1.000042665750889</v>
      </c>
      <c r="AY230">
        <f t="shared" si="242"/>
        <v>9.2373409563795417E-3</v>
      </c>
      <c r="AZ230" t="str">
        <f t="shared" si="218"/>
        <v>1+2,18667276188806i</v>
      </c>
      <c r="BA230">
        <f t="shared" si="243"/>
        <v>2.4044828482613796</v>
      </c>
      <c r="BB230">
        <f t="shared" si="244"/>
        <v>1.1418752613893763</v>
      </c>
      <c r="BC230" s="41" t="str">
        <f t="shared" si="245"/>
        <v>-1,32197898073323+0,619390407085508i</v>
      </c>
      <c r="BD230">
        <f t="shared" si="246"/>
        <v>3.2863906313353342</v>
      </c>
      <c r="BE230" s="43">
        <f t="shared" si="247"/>
        <v>154.89537255728507</v>
      </c>
      <c r="BF230" s="41" t="str">
        <f t="shared" si="248"/>
        <v>0,137791851129327+2,61151518369481i</v>
      </c>
      <c r="BG230" s="20">
        <f t="shared" si="249"/>
        <v>8.3499248618368966</v>
      </c>
      <c r="BH230" s="43">
        <f t="shared" si="250"/>
        <v>86.979693073574552</v>
      </c>
      <c r="BI230" s="41" t="str">
        <f t="shared" si="203"/>
        <v>0,209774194147566+8,27074180926463i</v>
      </c>
      <c r="BJ230" s="20">
        <f t="shared" si="251"/>
        <v>18.353682198913749</v>
      </c>
      <c r="BK230" s="43">
        <f t="shared" si="204"/>
        <v>88.547095299895915</v>
      </c>
      <c r="BL230">
        <f t="shared" si="252"/>
        <v>8.3499248618368966</v>
      </c>
      <c r="BM230" s="43">
        <f t="shared" si="253"/>
        <v>86.979693073574552</v>
      </c>
    </row>
    <row r="231" spans="14:65" x14ac:dyDescent="0.25">
      <c r="N231" s="9">
        <v>13</v>
      </c>
      <c r="O231" s="34">
        <f t="shared" si="254"/>
        <v>1348.9628825916541</v>
      </c>
      <c r="P231" s="33" t="str">
        <f t="shared" si="206"/>
        <v>54,631621870174</v>
      </c>
      <c r="Q231" s="4" t="str">
        <f t="shared" si="207"/>
        <v>1+33,7812968586597i</v>
      </c>
      <c r="R231" s="4">
        <f t="shared" si="219"/>
        <v>33.796094707123956</v>
      </c>
      <c r="S231" s="4">
        <f t="shared" si="220"/>
        <v>1.5412027898348661</v>
      </c>
      <c r="T231" s="4" t="str">
        <f t="shared" si="208"/>
        <v>1+0,423789188191525i</v>
      </c>
      <c r="U231" s="4">
        <f t="shared" si="221"/>
        <v>1.0860926645678222</v>
      </c>
      <c r="V231" s="4">
        <f t="shared" si="222"/>
        <v>0.40084463209605559</v>
      </c>
      <c r="W231" t="str">
        <f t="shared" si="209"/>
        <v>1-0,0337280155560692i</v>
      </c>
      <c r="X231" s="4">
        <f t="shared" si="223"/>
        <v>1.0005686278478605</v>
      </c>
      <c r="Y231" s="4">
        <f t="shared" si="224"/>
        <v>-3.3715234850595577E-2</v>
      </c>
      <c r="Z231" t="str">
        <f t="shared" si="210"/>
        <v>0,999992721196566+0,00463395654377649i</v>
      </c>
      <c r="AA231" s="4">
        <f t="shared" si="225"/>
        <v>1.0000034579937023</v>
      </c>
      <c r="AB231" s="4">
        <f t="shared" si="226"/>
        <v>4.6339571042129995E-3</v>
      </c>
      <c r="AC231" s="47" t="str">
        <f t="shared" si="227"/>
        <v>0,671257670798914-1,62335999436618i</v>
      </c>
      <c r="AD231" s="20">
        <f t="shared" si="228"/>
        <v>4.8937967153582376</v>
      </c>
      <c r="AE231" s="43">
        <f t="shared" si="229"/>
        <v>-67.534956418495184</v>
      </c>
      <c r="AF231" t="str">
        <f t="shared" si="211"/>
        <v>171,265703090588</v>
      </c>
      <c r="AG231" t="str">
        <f t="shared" si="212"/>
        <v>1+33,4580092586972i</v>
      </c>
      <c r="AH231">
        <f t="shared" si="230"/>
        <v>33.47295002767261</v>
      </c>
      <c r="AI231">
        <f t="shared" si="231"/>
        <v>1.5409170119974807</v>
      </c>
      <c r="AJ231" t="str">
        <f t="shared" si="213"/>
        <v>1+0,423789188191525i</v>
      </c>
      <c r="AK231">
        <f t="shared" si="232"/>
        <v>1.0860926645678222</v>
      </c>
      <c r="AL231">
        <f t="shared" si="233"/>
        <v>0.40084463209605559</v>
      </c>
      <c r="AM231" t="str">
        <f t="shared" si="214"/>
        <v>1-0,0106558452574141i</v>
      </c>
      <c r="AN231">
        <f t="shared" si="234"/>
        <v>1.0000567719075502</v>
      </c>
      <c r="AO231">
        <f t="shared" si="235"/>
        <v>-1.065544197166623E-2</v>
      </c>
      <c r="AP231" s="41" t="str">
        <f t="shared" si="236"/>
        <v>2,26641620420022-5,07420189641685i</v>
      </c>
      <c r="AQ231">
        <f t="shared" si="237"/>
        <v>14.897358963159713</v>
      </c>
      <c r="AR231" s="43">
        <f t="shared" si="238"/>
        <v>-65.931847561610141</v>
      </c>
      <c r="AS231" t="str">
        <f t="shared" si="215"/>
        <v>-0,0000166666666666667</v>
      </c>
      <c r="AT231" t="str">
        <f t="shared" si="216"/>
        <v>0,0000280887473933343i</v>
      </c>
      <c r="AU231">
        <f t="shared" si="239"/>
        <v>2.8088747393334301E-5</v>
      </c>
      <c r="AV231">
        <f t="shared" si="240"/>
        <v>1.5707963267948966</v>
      </c>
      <c r="AW231" t="str">
        <f t="shared" si="217"/>
        <v>1+0,00945277513310728i</v>
      </c>
      <c r="AX231">
        <f t="shared" si="241"/>
        <v>1.0000446764808646</v>
      </c>
      <c r="AY231">
        <f t="shared" si="242"/>
        <v>9.4524935974269822E-3</v>
      </c>
      <c r="AZ231" t="str">
        <f t="shared" si="218"/>
        <v>1+2,23760691365125i</v>
      </c>
      <c r="BA231">
        <f t="shared" si="243"/>
        <v>2.4508946733835528</v>
      </c>
      <c r="BB231">
        <f t="shared" si="244"/>
        <v>1.1505183338444762</v>
      </c>
      <c r="BC231" s="41" t="str">
        <f t="shared" si="245"/>
        <v>-1,32197366469055+0,605853739154995i</v>
      </c>
      <c r="BD231">
        <f t="shared" si="246"/>
        <v>3.2524324562023961</v>
      </c>
      <c r="BE231" s="43">
        <f t="shared" si="247"/>
        <v>155.37825679270497</v>
      </c>
      <c r="BF231" s="41" t="str">
        <f t="shared" si="248"/>
        <v>0,0961337595636986+2,55272313065428i</v>
      </c>
      <c r="BG231" s="20">
        <f t="shared" si="249"/>
        <v>8.1462291715606199</v>
      </c>
      <c r="BH231" s="43">
        <f t="shared" si="250"/>
        <v>87.843300374209775</v>
      </c>
      <c r="BI231" s="41" t="str">
        <f t="shared" si="203"/>
        <v>0,0780816569909044+8,08107800818209i</v>
      </c>
      <c r="BJ231" s="20">
        <f t="shared" si="251"/>
        <v>18.149791419362099</v>
      </c>
      <c r="BK231" s="43">
        <f t="shared" si="204"/>
        <v>89.446409231094819</v>
      </c>
      <c r="BL231">
        <f t="shared" si="252"/>
        <v>8.1462291715606199</v>
      </c>
      <c r="BM231" s="43">
        <f t="shared" si="253"/>
        <v>87.843300374209775</v>
      </c>
    </row>
    <row r="232" spans="14:65" x14ac:dyDescent="0.25">
      <c r="N232" s="9">
        <v>14</v>
      </c>
      <c r="O232" s="34">
        <f t="shared" si="254"/>
        <v>1380.3842646028863</v>
      </c>
      <c r="P232" s="33" t="str">
        <f t="shared" si="206"/>
        <v>54,631621870174</v>
      </c>
      <c r="Q232" s="4" t="str">
        <f t="shared" si="207"/>
        <v>1+34,5681643456223i</v>
      </c>
      <c r="R232" s="4">
        <f t="shared" si="219"/>
        <v>34.582625496424541</v>
      </c>
      <c r="S232" s="4">
        <f t="shared" si="220"/>
        <v>1.5418760410617853</v>
      </c>
      <c r="T232" s="4" t="str">
        <f t="shared" si="208"/>
        <v>1+0,433660506480738i</v>
      </c>
      <c r="U232" s="4">
        <f t="shared" si="221"/>
        <v>1.0899823094349423</v>
      </c>
      <c r="V232" s="4">
        <f t="shared" si="222"/>
        <v>0.40918324586645533</v>
      </c>
      <c r="W232" t="str">
        <f t="shared" si="209"/>
        <v>1-0,0345136419620619i</v>
      </c>
      <c r="X232" s="4">
        <f t="shared" si="223"/>
        <v>1.0005954184791601</v>
      </c>
      <c r="Y232" s="4">
        <f t="shared" si="224"/>
        <v>-3.4499947629506894E-2</v>
      </c>
      <c r="Z232" t="str">
        <f t="shared" si="210"/>
        <v>0,999992378157128+0,00474189525778003i</v>
      </c>
      <c r="AA232" s="4">
        <f t="shared" si="225"/>
        <v>1.0000036209649363</v>
      </c>
      <c r="AB232" s="4">
        <f t="shared" si="226"/>
        <v>4.7418958582959754E-3</v>
      </c>
      <c r="AC232" s="47" t="str">
        <f t="shared" si="227"/>
        <v>0,669125816680116-1,58766763358448i</v>
      </c>
      <c r="AD232" s="20">
        <f t="shared" si="228"/>
        <v>4.7252503787555504</v>
      </c>
      <c r="AE232" s="43">
        <f t="shared" si="229"/>
        <v>-67.146908661732596</v>
      </c>
      <c r="AF232" t="str">
        <f t="shared" si="211"/>
        <v>171,265703090588</v>
      </c>
      <c r="AG232" t="str">
        <f t="shared" si="212"/>
        <v>1+34,2373464100894i</v>
      </c>
      <c r="AH232">
        <f t="shared" si="230"/>
        <v>34.251947232302889</v>
      </c>
      <c r="AI232">
        <f t="shared" si="231"/>
        <v>1.5415967572104106</v>
      </c>
      <c r="AJ232" t="str">
        <f t="shared" si="213"/>
        <v>1+0,433660506480738i</v>
      </c>
      <c r="AK232">
        <f t="shared" si="232"/>
        <v>1.0899823094349423</v>
      </c>
      <c r="AL232">
        <f t="shared" si="233"/>
        <v>0.40918324586645533</v>
      </c>
      <c r="AM232" t="str">
        <f t="shared" si="214"/>
        <v>1-0,0109040517787399i</v>
      </c>
      <c r="AN232">
        <f t="shared" si="234"/>
        <v>1.0000594474055997</v>
      </c>
      <c r="AO232">
        <f t="shared" si="235"/>
        <v>-1.0903619651662866E-2</v>
      </c>
      <c r="AP232" s="41" t="str">
        <f t="shared" si="236"/>
        <v>2,25962732001994-4,95996186260276i</v>
      </c>
      <c r="AQ232">
        <f t="shared" si="237"/>
        <v>14.728608035020862</v>
      </c>
      <c r="AR232" s="43">
        <f t="shared" si="238"/>
        <v>-65.507246251054838</v>
      </c>
      <c r="AS232" t="str">
        <f t="shared" si="215"/>
        <v>-0,0000166666666666667</v>
      </c>
      <c r="AT232" t="str">
        <f t="shared" si="216"/>
        <v>0,0000287430183695433i</v>
      </c>
      <c r="AU232">
        <f t="shared" si="239"/>
        <v>2.8743018369543299E-5</v>
      </c>
      <c r="AV232">
        <f t="shared" si="240"/>
        <v>1.5707963267948966</v>
      </c>
      <c r="AW232" t="str">
        <f t="shared" si="217"/>
        <v>1+0,00967295855131445i</v>
      </c>
      <c r="AX232">
        <f t="shared" si="241"/>
        <v>1.0000467819692915</v>
      </c>
      <c r="AY232">
        <f t="shared" si="242"/>
        <v>9.6726568811600702E-3</v>
      </c>
      <c r="AZ232" t="str">
        <f t="shared" si="218"/>
        <v>1+2,28972747421829i</v>
      </c>
      <c r="BA232">
        <f t="shared" si="243"/>
        <v>2.4985699722421364</v>
      </c>
      <c r="BB232">
        <f t="shared" si="244"/>
        <v>1.1590296781134024</v>
      </c>
      <c r="BC232" s="41" t="str">
        <f t="shared" si="245"/>
        <v>-1,32196809815632+0,592638298159043i</v>
      </c>
      <c r="BD232">
        <f t="shared" si="246"/>
        <v>3.2197515365683813</v>
      </c>
      <c r="BE232" s="43">
        <f t="shared" si="247"/>
        <v>155.8533064703357</v>
      </c>
      <c r="BF232" s="41" t="str">
        <f t="shared" si="248"/>
        <v>0,056349661105794+2,4953955473256i</v>
      </c>
      <c r="BG232" s="20">
        <f t="shared" si="249"/>
        <v>7.9450019153239184</v>
      </c>
      <c r="BH232" s="43">
        <f t="shared" si="250"/>
        <v>88.7063978086031</v>
      </c>
      <c r="BI232" s="41" t="str">
        <f t="shared" si="203"/>
        <v>-0,0476918736021656+7,89605303984314i</v>
      </c>
      <c r="BJ232" s="20">
        <f t="shared" si="251"/>
        <v>17.94835957158924</v>
      </c>
      <c r="BK232" s="43">
        <f t="shared" si="204"/>
        <v>90.34606021928083</v>
      </c>
      <c r="BL232">
        <f t="shared" si="252"/>
        <v>7.9450019153239184</v>
      </c>
      <c r="BM232" s="43">
        <f t="shared" si="253"/>
        <v>88.7063978086031</v>
      </c>
    </row>
    <row r="233" spans="14:65" x14ac:dyDescent="0.25">
      <c r="N233" s="9">
        <v>15</v>
      </c>
      <c r="O233" s="34">
        <f t="shared" si="254"/>
        <v>1412.5375446227545</v>
      </c>
      <c r="P233" s="33" t="str">
        <f t="shared" si="206"/>
        <v>54,631621870174</v>
      </c>
      <c r="Q233" s="4" t="str">
        <f t="shared" si="207"/>
        <v>1+35,3733603308847i</v>
      </c>
      <c r="R233" s="4">
        <f t="shared" si="219"/>
        <v>35.387492438693755</v>
      </c>
      <c r="S233" s="4">
        <f t="shared" si="220"/>
        <v>1.5425339925611563</v>
      </c>
      <c r="T233" s="4" t="str">
        <f t="shared" si="208"/>
        <v>1+0,443761757310661i</v>
      </c>
      <c r="U233" s="4">
        <f t="shared" si="221"/>
        <v>1.0940404458937731</v>
      </c>
      <c r="V233" s="4">
        <f t="shared" si="222"/>
        <v>0.41765410621765681</v>
      </c>
      <c r="W233" t="str">
        <f t="shared" si="209"/>
        <v>1-0,0353175679578649i</v>
      </c>
      <c r="X233" s="4">
        <f t="shared" si="223"/>
        <v>1.0006234709452195</v>
      </c>
      <c r="Y233" s="4">
        <f t="shared" si="224"/>
        <v>-3.5302894709915392E-2</v>
      </c>
      <c r="Z233" t="str">
        <f t="shared" si="210"/>
        <v>0,99999201895074+0,00485234818741564i</v>
      </c>
      <c r="AA233" s="4">
        <f t="shared" si="225"/>
        <v>1.0000037916168663</v>
      </c>
      <c r="AB233" s="4">
        <f t="shared" si="226"/>
        <v>4.8523488308771547E-3</v>
      </c>
      <c r="AC233" s="47" t="str">
        <f t="shared" si="227"/>
        <v>0,667089251533785-1,55281153950119i</v>
      </c>
      <c r="AD233" s="20">
        <f t="shared" si="228"/>
        <v>4.5579344198315859</v>
      </c>
      <c r="AE233" s="43">
        <f t="shared" si="229"/>
        <v>-66.751595926845667</v>
      </c>
      <c r="AF233" t="str">
        <f t="shared" si="211"/>
        <v>171,265703090588</v>
      </c>
      <c r="AG233" t="str">
        <f t="shared" si="212"/>
        <v>1+35,0348366557331i</v>
      </c>
      <c r="AH233">
        <f t="shared" si="230"/>
        <v>35.04910525953408</v>
      </c>
      <c r="AI233">
        <f t="shared" si="231"/>
        <v>1.5422610556154792</v>
      </c>
      <c r="AJ233" t="str">
        <f t="shared" si="213"/>
        <v>1+0,443761757310661i</v>
      </c>
      <c r="AK233">
        <f t="shared" si="232"/>
        <v>1.0940404458937731</v>
      </c>
      <c r="AL233">
        <f t="shared" si="233"/>
        <v>0.41765410621765681</v>
      </c>
      <c r="AM233" t="str">
        <f t="shared" si="214"/>
        <v>1-0,0111580397726511i</v>
      </c>
      <c r="AN233">
        <f t="shared" si="234"/>
        <v>1.0000622489883157</v>
      </c>
      <c r="AO233">
        <f t="shared" si="235"/>
        <v>-1.1157576741702344E-2</v>
      </c>
      <c r="AP233" s="41" t="str">
        <f t="shared" si="236"/>
        <v>2,25314347677764-4,84833382708574i</v>
      </c>
      <c r="AQ233">
        <f t="shared" si="237"/>
        <v>14.561077550001311</v>
      </c>
      <c r="AR233" s="43">
        <f t="shared" si="238"/>
        <v>-65.074513868470561</v>
      </c>
      <c r="AS233" t="str">
        <f t="shared" si="215"/>
        <v>-0,0000166666666666667</v>
      </c>
      <c r="AT233" t="str">
        <f t="shared" si="216"/>
        <v>0,0000294125292745506i</v>
      </c>
      <c r="AU233">
        <f t="shared" si="239"/>
        <v>2.9412529274550601E-5</v>
      </c>
      <c r="AV233">
        <f t="shared" si="240"/>
        <v>1.5707963267948966</v>
      </c>
      <c r="AW233" t="str">
        <f t="shared" si="217"/>
        <v>1+0,00989827070018227i</v>
      </c>
      <c r="AX233">
        <f t="shared" si="241"/>
        <v>1.0000489866815796</v>
      </c>
      <c r="AY233">
        <f t="shared" si="242"/>
        <v>9.8979474556432079E-3</v>
      </c>
      <c r="AZ233" t="str">
        <f t="shared" si="218"/>
        <v>1+2,34306207860029i</v>
      </c>
      <c r="BA233">
        <f t="shared" si="243"/>
        <v>2.5475360457066571</v>
      </c>
      <c r="BB233">
        <f t="shared" si="244"/>
        <v>1.1674088732801056</v>
      </c>
      <c r="BC233" s="41" t="str">
        <f t="shared" si="245"/>
        <v>-1,32196226932966+0,579737076757165i</v>
      </c>
      <c r="BD233">
        <f t="shared" si="246"/>
        <v>3.1883088142121903</v>
      </c>
      <c r="BE233" s="43">
        <f t="shared" si="247"/>
        <v>156.32049079002215</v>
      </c>
      <c r="BF233" s="41" t="str">
        <f t="shared" si="248"/>
        <v>0,0183556018621863+2,4394946392206i</v>
      </c>
      <c r="BG233" s="20">
        <f t="shared" si="249"/>
        <v>7.7462432340437823</v>
      </c>
      <c r="BH233" s="43">
        <f t="shared" si="250"/>
        <v>89.568894863176496</v>
      </c>
      <c r="BI233" s="41" t="str">
        <f t="shared" si="203"/>
        <v>-0,167811783628725+7,71554520126356i</v>
      </c>
      <c r="BJ233" s="20">
        <f t="shared" si="251"/>
        <v>17.749386364213496</v>
      </c>
      <c r="BK233" s="43">
        <f t="shared" si="204"/>
        <v>91.245976921551588</v>
      </c>
      <c r="BL233">
        <f t="shared" si="252"/>
        <v>7.7462432340437823</v>
      </c>
      <c r="BM233" s="43">
        <f t="shared" si="253"/>
        <v>89.568894863176496</v>
      </c>
    </row>
    <row r="234" spans="14:65" x14ac:dyDescent="0.25">
      <c r="N234" s="9">
        <v>16</v>
      </c>
      <c r="O234" s="34">
        <f t="shared" si="254"/>
        <v>1445.4397707459289</v>
      </c>
      <c r="P234" s="33" t="str">
        <f t="shared" si="206"/>
        <v>54,631621870174</v>
      </c>
      <c r="Q234" s="4" t="str">
        <f t="shared" si="207"/>
        <v>1+36,1973117400164i</v>
      </c>
      <c r="R234" s="4">
        <f t="shared" si="219"/>
        <v>36.211122285893445</v>
      </c>
      <c r="S234" s="4">
        <f t="shared" si="220"/>
        <v>1.5431769909076507</v>
      </c>
      <c r="T234" s="4" t="str">
        <f t="shared" si="208"/>
        <v>1+0,454098296498192i</v>
      </c>
      <c r="U234" s="4">
        <f t="shared" si="221"/>
        <v>1.0982737649978533</v>
      </c>
      <c r="V234" s="4">
        <f t="shared" si="222"/>
        <v>0.42625684081899984</v>
      </c>
      <c r="W234" t="str">
        <f t="shared" si="209"/>
        <v>1-0,0361402197956825i</v>
      </c>
      <c r="X234" s="4">
        <f t="shared" si="223"/>
        <v>1.000652844640378</v>
      </c>
      <c r="Y234" s="4">
        <f t="shared" si="224"/>
        <v>-3.6124497681191442E-2</v>
      </c>
      <c r="Z234" t="str">
        <f t="shared" si="210"/>
        <v>0,999991642815477+0,00496537389628864i</v>
      </c>
      <c r="AA234" s="4">
        <f t="shared" si="225"/>
        <v>1.0000039703114818</v>
      </c>
      <c r="AB234" s="4">
        <f t="shared" si="226"/>
        <v>4.9653745857668021E-3</v>
      </c>
      <c r="AC234" s="47" t="str">
        <f t="shared" si="227"/>
        <v>0,665143676655571-1,51877359963525i</v>
      </c>
      <c r="AD234" s="20">
        <f t="shared" si="228"/>
        <v>4.3918885656137316</v>
      </c>
      <c r="AE234" s="43">
        <f t="shared" si="229"/>
        <v>-66.349086914826472</v>
      </c>
      <c r="AF234" t="str">
        <f t="shared" si="211"/>
        <v>171,265703090588</v>
      </c>
      <c r="AG234" t="str">
        <f t="shared" si="212"/>
        <v>1+35,8509028355126i</v>
      </c>
      <c r="AH234">
        <f t="shared" si="230"/>
        <v>35.864846773984198</v>
      </c>
      <c r="AI234">
        <f t="shared" si="231"/>
        <v>1.542910257085953</v>
      </c>
      <c r="AJ234" t="str">
        <f t="shared" si="213"/>
        <v>1+0,454098296498192i</v>
      </c>
      <c r="AK234">
        <f t="shared" si="232"/>
        <v>1.0982737649978533</v>
      </c>
      <c r="AL234">
        <f t="shared" si="233"/>
        <v>0.42625684081899984</v>
      </c>
      <c r="AM234" t="str">
        <f t="shared" si="214"/>
        <v>1-0,0114179439069438i</v>
      </c>
      <c r="AN234">
        <f t="shared" si="234"/>
        <v>1.0000651825971456</v>
      </c>
      <c r="AO234">
        <f t="shared" si="235"/>
        <v>-1.141744776208981E-2</v>
      </c>
      <c r="AP234" s="41" t="str">
        <f t="shared" si="236"/>
        <v>2,24695099011862-4,73925979197182i</v>
      </c>
      <c r="AQ234">
        <f t="shared" si="237"/>
        <v>14.394806781924672</v>
      </c>
      <c r="AR234" s="43">
        <f t="shared" si="238"/>
        <v>-64.633699500540274</v>
      </c>
      <c r="AS234" t="str">
        <f t="shared" si="215"/>
        <v>-0,0000166666666666667</v>
      </c>
      <c r="AT234" t="str">
        <f t="shared" si="216"/>
        <v>0,0000300976350919002i</v>
      </c>
      <c r="AU234">
        <f t="shared" si="239"/>
        <v>3.0097635091900199E-5</v>
      </c>
      <c r="AV234">
        <f t="shared" si="240"/>
        <v>1.5707963267948966</v>
      </c>
      <c r="AW234" t="str">
        <f t="shared" si="217"/>
        <v>1+0,0101288310431944i</v>
      </c>
      <c r="AX234">
        <f t="shared" si="241"/>
        <v>1.0000512952935472</v>
      </c>
      <c r="AY234">
        <f t="shared" si="242"/>
        <v>1.012848468138999E-2</v>
      </c>
      <c r="AZ234" t="str">
        <f t="shared" si="218"/>
        <v>1+2,39763900551046i</v>
      </c>
      <c r="BA234">
        <f t="shared" si="243"/>
        <v>2.597820779181117</v>
      </c>
      <c r="BB234">
        <f t="shared" si="244"/>
        <v>1.1756556545665546</v>
      </c>
      <c r="BC234" s="41" t="str">
        <f t="shared" si="245"/>
        <v>-1,32195616585395+0,567143234188033i</v>
      </c>
      <c r="BD234">
        <f t="shared" si="246"/>
        <v>3.1580657350342562</v>
      </c>
      <c r="BE234" s="43">
        <f t="shared" si="247"/>
        <v>156.77978774224712</v>
      </c>
      <c r="BF234" s="41" t="str">
        <f t="shared" si="248"/>
        <v>-0,0179286132370615+2,38498386055218i</v>
      </c>
      <c r="BG234" s="20">
        <f t="shared" si="249"/>
        <v>7.5499543006479994</v>
      </c>
      <c r="BH234" s="43">
        <f t="shared" si="250"/>
        <v>90.430700827420651</v>
      </c>
      <c r="BI234" s="41" t="str">
        <f t="shared" si="203"/>
        <v>-0,282531589682745+7,53943675517873i</v>
      </c>
      <c r="BJ234" s="20">
        <f t="shared" si="251"/>
        <v>17.552872516958924</v>
      </c>
      <c r="BK234" s="43">
        <f t="shared" si="204"/>
        <v>92.146088241706877</v>
      </c>
      <c r="BL234">
        <f t="shared" si="252"/>
        <v>7.5499543006479994</v>
      </c>
      <c r="BM234" s="43">
        <f t="shared" si="253"/>
        <v>90.430700827420651</v>
      </c>
    </row>
    <row r="235" spans="14:65" x14ac:dyDescent="0.25">
      <c r="N235" s="9">
        <v>17</v>
      </c>
      <c r="O235" s="34">
        <f t="shared" si="254"/>
        <v>1479.1083881682086</v>
      </c>
      <c r="P235" s="33" t="str">
        <f t="shared" si="206"/>
        <v>54,631621870174</v>
      </c>
      <c r="Q235" s="4" t="str">
        <f t="shared" si="207"/>
        <v>1+37,0404554429606i</v>
      </c>
      <c r="R235" s="4">
        <f t="shared" si="219"/>
        <v>37.053951738268751</v>
      </c>
      <c r="S235" s="4">
        <f t="shared" si="220"/>
        <v>1.5438053748995197</v>
      </c>
      <c r="T235" s="4" t="str">
        <f t="shared" si="208"/>
        <v>1+0,464675604613228i</v>
      </c>
      <c r="U235" s="4">
        <f t="shared" si="221"/>
        <v>1.1026891753901773</v>
      </c>
      <c r="V235" s="4">
        <f t="shared" si="222"/>
        <v>0.43499091661022538</v>
      </c>
      <c r="W235" t="str">
        <f t="shared" si="209"/>
        <v>1-0,0369820336564081i</v>
      </c>
      <c r="X235" s="4">
        <f t="shared" si="223"/>
        <v>1.0006836017510048</v>
      </c>
      <c r="Y235" s="4">
        <f t="shared" si="224"/>
        <v>-3.6965187728708826E-2</v>
      </c>
      <c r="Z235" t="str">
        <f t="shared" si="210"/>
        <v>0,999991248953504+0,00508103231212595i</v>
      </c>
      <c r="AA235" s="4">
        <f t="shared" si="225"/>
        <v>1.0000041574278307</v>
      </c>
      <c r="AB235" s="4">
        <f t="shared" si="226"/>
        <v>5.0810330509114465E-3</v>
      </c>
      <c r="AC235" s="47" t="str">
        <f t="shared" si="227"/>
        <v>0,66328498448799-1,48553611074165i</v>
      </c>
      <c r="AD235" s="20">
        <f t="shared" si="228"/>
        <v>4.2271530213418931</v>
      </c>
      <c r="AE235" s="43">
        <f t="shared" si="229"/>
        <v>-65.939459718208752</v>
      </c>
      <c r="AF235" t="str">
        <f t="shared" si="211"/>
        <v>171,265703090588</v>
      </c>
      <c r="AG235" t="str">
        <f t="shared" si="212"/>
        <v>1+36,6859776385183i</v>
      </c>
      <c r="AH235">
        <f t="shared" si="230"/>
        <v>36.699604293423448</v>
      </c>
      <c r="AI235">
        <f t="shared" si="231"/>
        <v>1.543544703646879</v>
      </c>
      <c r="AJ235" t="str">
        <f t="shared" si="213"/>
        <v>1+0,464675604613228i</v>
      </c>
      <c r="AK235">
        <f t="shared" si="232"/>
        <v>1.1026891753901773</v>
      </c>
      <c r="AL235">
        <f t="shared" si="233"/>
        <v>0.43499091661022538</v>
      </c>
      <c r="AM235" t="str">
        <f t="shared" si="214"/>
        <v>1-0,0116839019862303i</v>
      </c>
      <c r="AN235">
        <f t="shared" si="234"/>
        <v>1.0000682544534767</v>
      </c>
      <c r="AO235">
        <f t="shared" si="235"/>
        <v>-1.1683370359400673E-2</v>
      </c>
      <c r="AP235" s="41" t="str">
        <f t="shared" si="236"/>
        <v>2,24103678765505-4,63268303439491i</v>
      </c>
      <c r="AQ235">
        <f t="shared" si="237"/>
        <v>14.229835460975826</v>
      </c>
      <c r="AR235" s="43">
        <f t="shared" si="238"/>
        <v>-64.184861172526425</v>
      </c>
      <c r="AS235" t="str">
        <f t="shared" si="215"/>
        <v>-0,0000166666666666667</v>
      </c>
      <c r="AT235" t="str">
        <f t="shared" si="216"/>
        <v>0,0000307986990737648i</v>
      </c>
      <c r="AU235">
        <f t="shared" si="239"/>
        <v>3.0798699073764797E-5</v>
      </c>
      <c r="AV235">
        <f t="shared" si="240"/>
        <v>1.5707963267948966</v>
      </c>
      <c r="AW235" t="str">
        <f t="shared" si="217"/>
        <v>1+0,0103647618264966i</v>
      </c>
      <c r="AX235">
        <f t="shared" si="241"/>
        <v>1.0000537127013329</v>
      </c>
      <c r="AY235">
        <f t="shared" si="242"/>
        <v>1.0364390694213155E-2</v>
      </c>
      <c r="AZ235" t="str">
        <f t="shared" si="218"/>
        <v>1+2,45348719235785i</v>
      </c>
      <c r="BA235">
        <f t="shared" si="243"/>
        <v>2.6494526610347289</v>
      </c>
      <c r="BB235">
        <f t="shared" si="244"/>
        <v>1.1837699066049312</v>
      </c>
      <c r="BC235" s="41" t="str">
        <f t="shared" si="245"/>
        <v>-1,32194977479071+0,554850092640703i</v>
      </c>
      <c r="BD235">
        <f t="shared" si="246"/>
        <v>3.128984297118734</v>
      </c>
      <c r="BE235" s="43">
        <f t="shared" si="247"/>
        <v>157.23118371905517</v>
      </c>
      <c r="BF235" s="41" t="str">
        <f t="shared" si="248"/>
        <v>-0,0525795871998439+2,33182786212874i</v>
      </c>
      <c r="BG235" s="20">
        <f t="shared" si="249"/>
        <v>7.356137318460628</v>
      </c>
      <c r="BH235" s="43">
        <f t="shared" si="250"/>
        <v>91.291724000846386</v>
      </c>
      <c r="BI235" s="41" t="str">
        <f t="shared" si="203"/>
        <v>-0,392093465929261+7,36761376323672i</v>
      </c>
      <c r="BJ235" s="20">
        <f t="shared" si="251"/>
        <v>17.358819758094558</v>
      </c>
      <c r="BK235" s="43">
        <f t="shared" si="204"/>
        <v>93.046322546528728</v>
      </c>
      <c r="BL235">
        <f t="shared" si="252"/>
        <v>7.356137318460628</v>
      </c>
      <c r="BM235" s="43">
        <f t="shared" si="253"/>
        <v>91.291724000846386</v>
      </c>
    </row>
    <row r="236" spans="14:65" x14ac:dyDescent="0.25">
      <c r="N236" s="9">
        <v>18</v>
      </c>
      <c r="O236" s="34">
        <f t="shared" si="254"/>
        <v>1513.5612484362093</v>
      </c>
      <c r="P236" s="33" t="str">
        <f t="shared" si="206"/>
        <v>54,631621870174</v>
      </c>
      <c r="Q236" s="4" t="str">
        <f t="shared" si="207"/>
        <v>1+37,9032384856691i</v>
      </c>
      <c r="R236" s="4">
        <f t="shared" si="219"/>
        <v>37.91642767589672</v>
      </c>
      <c r="S236" s="4">
        <f t="shared" si="220"/>
        <v>1.5444194757281156</v>
      </c>
      <c r="T236" s="4" t="str">
        <f t="shared" si="208"/>
        <v>1+0,475499289884539i</v>
      </c>
      <c r="U236" s="4">
        <f t="shared" si="221"/>
        <v>1.1072938068465392</v>
      </c>
      <c r="V236" s="4">
        <f t="shared" si="222"/>
        <v>0.4438556333182998</v>
      </c>
      <c r="W236" t="str">
        <f t="shared" si="209"/>
        <v>1-0,0378434558808934i</v>
      </c>
      <c r="X236" s="4">
        <f t="shared" si="223"/>
        <v>1.0007158073863973</v>
      </c>
      <c r="Y236" s="4">
        <f t="shared" si="224"/>
        <v>-3.7825405841417456E-2</v>
      </c>
      <c r="Z236" t="str">
        <f t="shared" si="210"/>
        <v>0,999990836529389+0,00519938475855056i</v>
      </c>
      <c r="AA236" s="4">
        <f t="shared" si="225"/>
        <v>1.0000043533628313</v>
      </c>
      <c r="AB236" s="4">
        <f t="shared" si="226"/>
        <v>5.199385550169364E-3</v>
      </c>
      <c r="AC236" s="47" t="str">
        <f t="shared" si="227"/>
        <v>0,661509250070664-1,45308177105616i</v>
      </c>
      <c r="AD236" s="20">
        <f t="shared" si="228"/>
        <v>4.0637684159390277</v>
      </c>
      <c r="AE236" s="43">
        <f t="shared" si="229"/>
        <v>-65.522802215952254</v>
      </c>
      <c r="AF236" t="str">
        <f t="shared" si="211"/>
        <v>171,265703090588</v>
      </c>
      <c r="AG236" t="str">
        <f t="shared" si="212"/>
        <v>1+37,5405038324642i</v>
      </c>
      <c r="AH236">
        <f t="shared" si="230"/>
        <v>37.553820418104728</v>
      </c>
      <c r="AI236">
        <f t="shared" si="231"/>
        <v>1.5441647296460204</v>
      </c>
      <c r="AJ236" t="str">
        <f t="shared" si="213"/>
        <v>1+0,475499289884539i</v>
      </c>
      <c r="AK236">
        <f t="shared" si="232"/>
        <v>1.1072938068465392</v>
      </c>
      <c r="AL236">
        <f t="shared" si="233"/>
        <v>0.4438556333182998</v>
      </c>
      <c r="AM236" t="str">
        <f t="shared" si="214"/>
        <v>1-0,0119560550250047i</v>
      </c>
      <c r="AN236">
        <f t="shared" si="234"/>
        <v>1.0000714710718235</v>
      </c>
      <c r="AO236">
        <f t="shared" si="235"/>
        <v>-1.1955485378792275E-2</v>
      </c>
      <c r="AP236" s="41" t="str">
        <f t="shared" si="236"/>
        <v>2,23538838176793-4,52854808170117i</v>
      </c>
      <c r="AQ236">
        <f t="shared" si="237"/>
        <v>14.066203718181418</v>
      </c>
      <c r="AR236" s="43">
        <f t="shared" si="238"/>
        <v>-63.728066233667114</v>
      </c>
      <c r="AS236" t="str">
        <f t="shared" si="215"/>
        <v>-0,0000166666666666667</v>
      </c>
      <c r="AT236" t="str">
        <f t="shared" si="216"/>
        <v>0,0000315160929335473i</v>
      </c>
      <c r="AU236">
        <f t="shared" si="239"/>
        <v>3.15160929335473E-5</v>
      </c>
      <c r="AV236">
        <f t="shared" si="240"/>
        <v>1.5707963267948966</v>
      </c>
      <c r="AW236" t="str">
        <f t="shared" si="217"/>
        <v>1+0,0106061881437131i</v>
      </c>
      <c r="AX236">
        <f t="shared" si="241"/>
        <v>1.0000562440317744</v>
      </c>
      <c r="AY236">
        <f t="shared" si="242"/>
        <v>1.0605790469514523E-2</v>
      </c>
      <c r="AZ236" t="str">
        <f t="shared" si="218"/>
        <v>1+2,51063625059036i</v>
      </c>
      <c r="BA236">
        <f t="shared" si="243"/>
        <v>2.702460801339849</v>
      </c>
      <c r="BB236">
        <f t="shared" si="244"/>
        <v>1.1917516566221205</v>
      </c>
      <c r="BC236" s="41" t="str">
        <f t="shared" si="245"/>
        <v>-1,32194308259215+0,542851133712081i</v>
      </c>
      <c r="BD236">
        <f t="shared" si="246"/>
        <v>3.1010270940906253</v>
      </c>
      <c r="BE236" s="43">
        <f t="shared" si="247"/>
        <v>157.67467311986837</v>
      </c>
      <c r="BF236" s="41" t="str">
        <f t="shared" si="248"/>
        <v>-0,0856704904074399+2,27999244205033i</v>
      </c>
      <c r="BG236" s="20">
        <f t="shared" si="249"/>
        <v>7.1647955100296565</v>
      </c>
      <c r="BH236" s="43">
        <f t="shared" si="250"/>
        <v>92.151870903916134</v>
      </c>
      <c r="BI236" s="41" t="str">
        <f t="shared" si="203"/>
        <v>-0,496728747963826+7,19996592812035i</v>
      </c>
      <c r="BJ236" s="20">
        <f t="shared" si="251"/>
        <v>17.167230812272049</v>
      </c>
      <c r="BK236" s="43">
        <f t="shared" si="204"/>
        <v>93.946606886201266</v>
      </c>
      <c r="BL236">
        <f t="shared" si="252"/>
        <v>7.1647955100296565</v>
      </c>
      <c r="BM236" s="43">
        <f t="shared" si="253"/>
        <v>92.151870903916134</v>
      </c>
    </row>
    <row r="237" spans="14:65" x14ac:dyDescent="0.25">
      <c r="N237" s="9">
        <v>19</v>
      </c>
      <c r="O237" s="34">
        <f t="shared" si="254"/>
        <v>1548.8166189124822</v>
      </c>
      <c r="P237" s="33" t="str">
        <f t="shared" si="206"/>
        <v>54,631621870174</v>
      </c>
      <c r="Q237" s="4" t="str">
        <f t="shared" si="207"/>
        <v>1+38,7861183271313i</v>
      </c>
      <c r="R237" s="4">
        <f t="shared" si="219"/>
        <v>38.799007395631016</v>
      </c>
      <c r="S237" s="4">
        <f t="shared" si="220"/>
        <v>1.5450196171440478</v>
      </c>
      <c r="T237" s="4" t="str">
        <f t="shared" si="208"/>
        <v>1+0,486575091173323i</v>
      </c>
      <c r="U237" s="4">
        <f t="shared" si="221"/>
        <v>1.1120950136343242</v>
      </c>
      <c r="V237" s="4">
        <f t="shared" si="222"/>
        <v>0.45285011717984275</v>
      </c>
      <c r="W237" t="str">
        <f t="shared" si="209"/>
        <v>1-0,0387249432066041i</v>
      </c>
      <c r="X237" s="4">
        <f t="shared" si="223"/>
        <v>1.00074952971578</v>
      </c>
      <c r="Y237" s="4">
        <f t="shared" si="224"/>
        <v>-3.8705603023119782E-2</v>
      </c>
      <c r="Z237" t="str">
        <f t="shared" si="210"/>
        <v>0,999990404668324+0,00532049398759615i</v>
      </c>
      <c r="AA237" s="4">
        <f t="shared" si="225"/>
        <v>1.0000045585321051</v>
      </c>
      <c r="AB237" s="4">
        <f t="shared" si="226"/>
        <v>5.3204948358263624E-3</v>
      </c>
      <c r="AC237" s="47" t="str">
        <f t="shared" si="227"/>
        <v>0,659812722863592-1,42139367264482i</v>
      </c>
      <c r="AD237" s="20">
        <f t="shared" si="228"/>
        <v>3.9017757425707877</v>
      </c>
      <c r="AE237" s="43">
        <f t="shared" si="229"/>
        <v>-65.099212456610047</v>
      </c>
      <c r="AF237" t="str">
        <f t="shared" si="211"/>
        <v>171,265703090588</v>
      </c>
      <c r="AG237" t="str">
        <f t="shared" si="212"/>
        <v>1+38,4149344984494i</v>
      </c>
      <c r="AH237">
        <f t="shared" si="230"/>
        <v>38.427948065440049</v>
      </c>
      <c r="AI237">
        <f t="shared" si="231"/>
        <v>1.5447706619214132</v>
      </c>
      <c r="AJ237" t="str">
        <f t="shared" si="213"/>
        <v>1+0,486575091173323i</v>
      </c>
      <c r="AK237">
        <f t="shared" si="232"/>
        <v>1.1120950136343242</v>
      </c>
      <c r="AL237">
        <f t="shared" si="233"/>
        <v>0.45285011717984275</v>
      </c>
      <c r="AM237" t="str">
        <f t="shared" si="214"/>
        <v>1-0,0122345473224104i</v>
      </c>
      <c r="AN237">
        <f t="shared" si="234"/>
        <v>1.0000748392736336</v>
      </c>
      <c r="AO237">
        <f t="shared" si="235"/>
        <v>-1.2233936937963596E-2</v>
      </c>
      <c r="AP237" s="41" t="str">
        <f t="shared" si="236"/>
        <v>2,22999384360277-4,42680068694732i</v>
      </c>
      <c r="AQ237">
        <f t="shared" si="237"/>
        <v>13.903952024931543</v>
      </c>
      <c r="AR237" s="43">
        <f t="shared" si="238"/>
        <v>-63.263391730692234</v>
      </c>
      <c r="AS237" t="str">
        <f t="shared" si="215"/>
        <v>-0,0000166666666666667</v>
      </c>
      <c r="AT237" t="str">
        <f t="shared" si="216"/>
        <v>0,0000322501970429679i</v>
      </c>
      <c r="AU237">
        <f t="shared" si="239"/>
        <v>3.2250197042967898E-5</v>
      </c>
      <c r="AV237">
        <f t="shared" si="240"/>
        <v>1.5707963267948966</v>
      </c>
      <c r="AW237" t="str">
        <f t="shared" si="217"/>
        <v>1+0,0108532380022728i</v>
      </c>
      <c r="AX237">
        <f t="shared" si="241"/>
        <v>1.0000588946532769</v>
      </c>
      <c r="AY237">
        <f t="shared" si="242"/>
        <v>1.0852811888047141E-2</v>
      </c>
      <c r="AZ237" t="str">
        <f t="shared" si="218"/>
        <v>1+2,56911648139515i</v>
      </c>
      <c r="BA237">
        <f t="shared" si="243"/>
        <v>2.7568749509138417</v>
      </c>
      <c r="BB237">
        <f t="shared" si="244"/>
        <v>1.1996010675751998</v>
      </c>
      <c r="BC237" s="41" t="str">
        <f t="shared" si="245"/>
        <v>-1,32193607507263+0,531139994948808i</v>
      </c>
      <c r="BD237">
        <f t="shared" si="246"/>
        <v>3.0741573539004934</v>
      </c>
      <c r="BE237" s="43">
        <f t="shared" si="247"/>
        <v>158.1102579544123</v>
      </c>
      <c r="BF237" s="41" t="str">
        <f t="shared" si="248"/>
        <v>-0,117271213036444+2,22944449903809i</v>
      </c>
      <c r="BG237" s="20">
        <f t="shared" si="249"/>
        <v>6.9759330964712767</v>
      </c>
      <c r="BH237" s="43">
        <f t="shared" si="250"/>
        <v>93.011045497802257</v>
      </c>
      <c r="BI237" s="41" t="str">
        <f t="shared" si="203"/>
        <v>-0,596658414543795+7,03638644405901i</v>
      </c>
      <c r="BJ237" s="20">
        <f t="shared" si="251"/>
        <v>16.978109378832038</v>
      </c>
      <c r="BK237" s="43">
        <f t="shared" si="204"/>
        <v>94.846866223720099</v>
      </c>
      <c r="BL237">
        <f t="shared" si="252"/>
        <v>6.9759330964712767</v>
      </c>
      <c r="BM237" s="43">
        <f t="shared" si="253"/>
        <v>93.011045497802257</v>
      </c>
    </row>
    <row r="238" spans="14:65" x14ac:dyDescent="0.25">
      <c r="N238" s="9">
        <v>20</v>
      </c>
      <c r="O238" s="34">
        <f t="shared" si="254"/>
        <v>1584.8931924611156</v>
      </c>
      <c r="P238" s="33" t="str">
        <f t="shared" si="206"/>
        <v>54,631621870174</v>
      </c>
      <c r="Q238" s="4" t="str">
        <f t="shared" si="207"/>
        <v>1+39,6895630819257i</v>
      </c>
      <c r="R238" s="4">
        <f t="shared" si="219"/>
        <v>39.702158853570658</v>
      </c>
      <c r="S238" s="4">
        <f t="shared" si="220"/>
        <v>1.5456061156200271</v>
      </c>
      <c r="T238" s="4" t="str">
        <f t="shared" si="208"/>
        <v>1+0,497908881016031i</v>
      </c>
      <c r="U238" s="4">
        <f t="shared" si="221"/>
        <v>1.1171003776718706</v>
      </c>
      <c r="V238" s="4">
        <f t="shared" si="222"/>
        <v>0.46197331491756138</v>
      </c>
      <c r="W238" t="str">
        <f t="shared" si="209"/>
        <v>1-0,0396269630097882i</v>
      </c>
      <c r="X238" s="4">
        <f t="shared" si="223"/>
        <v>1.0007848401116892</v>
      </c>
      <c r="Y238" s="4">
        <f t="shared" si="224"/>
        <v>-3.9606240507457785E-2</v>
      </c>
      <c r="Z238" t="str">
        <f t="shared" si="210"/>
        <v>0,999989952454274+0,00544442421297903i</v>
      </c>
      <c r="AA238" s="4">
        <f t="shared" si="225"/>
        <v>1.0000047733708635</v>
      </c>
      <c r="AB238" s="4">
        <f t="shared" si="226"/>
        <v>5.4444251218688971E-3</v>
      </c>
      <c r="AC238" s="47" t="str">
        <f t="shared" si="227"/>
        <v>0,658191818927349-1,3904552938611i</v>
      </c>
      <c r="AD238" s="20">
        <f t="shared" si="228"/>
        <v>3.7412162942658829</v>
      </c>
      <c r="AE238" s="43">
        <f t="shared" si="229"/>
        <v>-64.66879902700795</v>
      </c>
      <c r="AF238" t="str">
        <f t="shared" si="211"/>
        <v>171,265703090588</v>
      </c>
      <c r="AG238" t="str">
        <f t="shared" si="212"/>
        <v>1+39,3097332711875i</v>
      </c>
      <c r="AH238">
        <f t="shared" si="230"/>
        <v>39.322450710146555</v>
      </c>
      <c r="AI238">
        <f t="shared" si="231"/>
        <v>1.5453628199655878</v>
      </c>
      <c r="AJ238" t="str">
        <f t="shared" si="213"/>
        <v>1+0,497908881016031i</v>
      </c>
      <c r="AK238">
        <f t="shared" si="232"/>
        <v>1.1171003776718706</v>
      </c>
      <c r="AL238">
        <f t="shared" si="233"/>
        <v>0.46197331491756138</v>
      </c>
      <c r="AM238" t="str">
        <f t="shared" si="214"/>
        <v>1-0,0125195265387498i</v>
      </c>
      <c r="AN238">
        <f t="shared" si="234"/>
        <v>1.0000783662017465</v>
      </c>
      <c r="AO238">
        <f t="shared" si="235"/>
        <v>-1.2518872502799384E-2</v>
      </c>
      <c r="AP238" s="41" t="str">
        <f t="shared" si="236"/>
        <v>2,22484177820828-4,32738780472366i</v>
      </c>
      <c r="AQ238">
        <f t="shared" si="237"/>
        <v>13.743121127514435</v>
      </c>
      <c r="AR238" s="43">
        <f t="shared" si="238"/>
        <v>-62.790924766691866</v>
      </c>
      <c r="AS238" t="str">
        <f t="shared" si="215"/>
        <v>-0,0000166666666666667</v>
      </c>
      <c r="AT238" t="str">
        <f t="shared" si="216"/>
        <v>0,0000330014006337426i</v>
      </c>
      <c r="AU238">
        <f t="shared" si="239"/>
        <v>3.3001400633742603E-5</v>
      </c>
      <c r="AV238">
        <f t="shared" si="240"/>
        <v>1.5707963267948966</v>
      </c>
      <c r="AW238" t="str">
        <f t="shared" si="217"/>
        <v>1+0,0111060423912809i</v>
      </c>
      <c r="AX238">
        <f t="shared" si="241"/>
        <v>1.0000616701871925</v>
      </c>
      <c r="AY238">
        <f t="shared" si="242"/>
        <v>1.1105585803182544E-2</v>
      </c>
      <c r="AZ238" t="str">
        <f t="shared" si="218"/>
        <v>1+2,62895889176465i</v>
      </c>
      <c r="BA238">
        <f t="shared" si="243"/>
        <v>2.812725520662906</v>
      </c>
      <c r="BB238">
        <f t="shared" si="244"/>
        <v>1.2073184312737055</v>
      </c>
      <c r="BC238" s="41" t="str">
        <f t="shared" si="245"/>
        <v>-1,32192873737851+0,519710466471653i</v>
      </c>
      <c r="BD238">
        <f t="shared" si="246"/>
        <v>3.0483389731840536</v>
      </c>
      <c r="BE238" s="43">
        <f t="shared" si="247"/>
        <v>158.53794744479586</v>
      </c>
      <c r="BF238" s="41" t="str">
        <f t="shared" si="248"/>
        <v>-0,147448510766964+2,18015198823763i</v>
      </c>
      <c r="BG238" s="20">
        <f t="shared" si="249"/>
        <v>6.7895552674499493</v>
      </c>
      <c r="BH238" s="43">
        <f t="shared" si="250"/>
        <v>93.86914841778794</v>
      </c>
      <c r="BI238" s="41" t="str">
        <f t="shared" si="203"/>
        <v>-0,692093548137155+6,87677185522376i</v>
      </c>
      <c r="BJ238" s="20">
        <f t="shared" si="251"/>
        <v>16.791460100698494</v>
      </c>
      <c r="BK238" s="43">
        <f t="shared" si="204"/>
        <v>95.747022678104003</v>
      </c>
      <c r="BL238">
        <f t="shared" si="252"/>
        <v>6.7895552674499493</v>
      </c>
      <c r="BM238" s="43">
        <f t="shared" si="253"/>
        <v>93.86914841778794</v>
      </c>
    </row>
    <row r="239" spans="14:65" x14ac:dyDescent="0.25">
      <c r="N239" s="9">
        <v>21</v>
      </c>
      <c r="O239" s="34">
        <f t="shared" si="254"/>
        <v>1621.8100973589308</v>
      </c>
      <c r="P239" s="33" t="str">
        <f t="shared" si="206"/>
        <v>54,631621870174</v>
      </c>
      <c r="Q239" s="4" t="str">
        <f t="shared" si="207"/>
        <v>1+40,6140517684193i</v>
      </c>
      <c r="R239" s="4">
        <f t="shared" si="219"/>
        <v>40.626360913178559</v>
      </c>
      <c r="S239" s="4">
        <f t="shared" si="220"/>
        <v>1.5461792805104317</v>
      </c>
      <c r="T239" s="4" t="str">
        <f t="shared" si="208"/>
        <v>1+0,509506668738055i</v>
      </c>
      <c r="U239" s="4">
        <f t="shared" si="221"/>
        <v>1.1223177114741396</v>
      </c>
      <c r="V239" s="4">
        <f t="shared" si="222"/>
        <v>0.47122398802120041</v>
      </c>
      <c r="W239" t="str">
        <f t="shared" si="209"/>
        <v>1-0,0405499935532848i</v>
      </c>
      <c r="X239" s="4">
        <f t="shared" si="223"/>
        <v>1.0008218133000357</v>
      </c>
      <c r="Y239" s="4">
        <f t="shared" si="224"/>
        <v>-4.0527789976611439E-2</v>
      </c>
      <c r="Z239" t="str">
        <f t="shared" si="210"/>
        <v>0,999989478928032+0,00557124114414508i</v>
      </c>
      <c r="AA239" s="4">
        <f t="shared" si="225"/>
        <v>1.0000049983348298</v>
      </c>
      <c r="AB239" s="4">
        <f t="shared" si="226"/>
        <v>5.5712421180323076E-3</v>
      </c>
      <c r="AC239" s="47" t="str">
        <f t="shared" si="227"/>
        <v>0,656643113444796-1,36025049191351i</v>
      </c>
      <c r="AD239" s="20">
        <f t="shared" si="228"/>
        <v>3.582131594605269</v>
      </c>
      <c r="AE239" s="43">
        <f t="shared" si="229"/>
        <v>-64.231681403545082</v>
      </c>
      <c r="AF239" t="str">
        <f t="shared" si="211"/>
        <v>171,265703090588</v>
      </c>
      <c r="AG239" t="str">
        <f t="shared" si="212"/>
        <v>1+40,2253745848316i</v>
      </c>
      <c r="AH239">
        <f t="shared" si="230"/>
        <v>40.237802629989815</v>
      </c>
      <c r="AI239">
        <f t="shared" si="231"/>
        <v>1.5459415160864984</v>
      </c>
      <c r="AJ239" t="str">
        <f t="shared" si="213"/>
        <v>1+0,509506668738055i</v>
      </c>
      <c r="AK239">
        <f t="shared" si="232"/>
        <v>1.1223177114741396</v>
      </c>
      <c r="AL239">
        <f t="shared" si="233"/>
        <v>0.47122398802120041</v>
      </c>
      <c r="AM239" t="str">
        <f t="shared" si="214"/>
        <v>1-0,0128111437737755i</v>
      </c>
      <c r="AN239">
        <f t="shared" si="234"/>
        <v>1.0000820593355289</v>
      </c>
      <c r="AO239">
        <f t="shared" si="235"/>
        <v>-1.2810442964733972E-2</v>
      </c>
      <c r="AP239" s="41" t="str">
        <f t="shared" si="236"/>
        <v>2,21992130076865-4,2302575673097i</v>
      </c>
      <c r="AQ239">
        <f t="shared" si="237"/>
        <v>13.583751976668117</v>
      </c>
      <c r="AR239" s="43">
        <f t="shared" si="238"/>
        <v>-62.310762842446501</v>
      </c>
      <c r="AS239" t="str">
        <f t="shared" si="215"/>
        <v>-0,0000166666666666667</v>
      </c>
      <c r="AT239" t="str">
        <f t="shared" si="216"/>
        <v>0,0000337701020039584i</v>
      </c>
      <c r="AU239">
        <f t="shared" si="239"/>
        <v>3.3770102003958398E-5</v>
      </c>
      <c r="AV239">
        <f t="shared" si="240"/>
        <v>1.5707963267948966</v>
      </c>
      <c r="AW239" t="str">
        <f t="shared" si="217"/>
        <v>1+0,0113647353509707i</v>
      </c>
      <c r="AX239">
        <f t="shared" si="241"/>
        <v>1.0000645765197353</v>
      </c>
      <c r="AY239">
        <f t="shared" si="242"/>
        <v>1.1364246109714978E-2</v>
      </c>
      <c r="AZ239" t="str">
        <f t="shared" si="218"/>
        <v>1+2,69019521093693i</v>
      </c>
      <c r="BA239">
        <f t="shared" si="243"/>
        <v>2.8700436012276875</v>
      </c>
      <c r="BB239">
        <f t="shared" si="244"/>
        <v>1.2149041615215845</v>
      </c>
      <c r="BC239" s="41" t="str">
        <f t="shared" si="245"/>
        <v>-1,32192105395682+0,508556487680688i</v>
      </c>
      <c r="BD239">
        <f t="shared" si="246"/>
        <v>3.0235365473656133</v>
      </c>
      <c r="BE239" s="43">
        <f t="shared" si="247"/>
        <v>158.95775762863227</v>
      </c>
      <c r="BF239" s="41" t="str">
        <f t="shared" si="248"/>
        <v>-0,17626614406497+2,13208387934879i</v>
      </c>
      <c r="BG239" s="20">
        <f t="shared" si="249"/>
        <v>6.6056681419708942</v>
      </c>
      <c r="BH239" s="43">
        <f t="shared" si="250"/>
        <v>94.726076225087184</v>
      </c>
      <c r="BI239" s="41" t="str">
        <f t="shared" si="203"/>
        <v>-0,783235775197616+6,7210219215333i</v>
      </c>
      <c r="BJ239" s="20">
        <f t="shared" si="251"/>
        <v>16.607288524033727</v>
      </c>
      <c r="BK239" s="43">
        <f t="shared" si="204"/>
        <v>96.646994786185758</v>
      </c>
      <c r="BL239">
        <f t="shared" si="252"/>
        <v>6.6056681419708942</v>
      </c>
      <c r="BM239" s="43">
        <f t="shared" si="253"/>
        <v>94.726076225087184</v>
      </c>
    </row>
    <row r="240" spans="14:65" x14ac:dyDescent="0.25">
      <c r="N240" s="9">
        <v>22</v>
      </c>
      <c r="O240" s="34">
        <f t="shared" si="254"/>
        <v>1659.5869074375626</v>
      </c>
      <c r="P240" s="33" t="str">
        <f t="shared" si="206"/>
        <v>54,631621870174</v>
      </c>
      <c r="Q240" s="4" t="str">
        <f t="shared" si="207"/>
        <v>1+41,5600745627514i</v>
      </c>
      <c r="R240" s="4">
        <f t="shared" si="219"/>
        <v>41.572103599186036</v>
      </c>
      <c r="S240" s="4">
        <f t="shared" si="220"/>
        <v>1.5467394142076507</v>
      </c>
      <c r="T240" s="4" t="str">
        <f t="shared" si="208"/>
        <v>1+0,521374603639965i</v>
      </c>
      <c r="U240" s="4">
        <f t="shared" si="221"/>
        <v>1.1277550608712561</v>
      </c>
      <c r="V240" s="4">
        <f t="shared" si="222"/>
        <v>0.48060070738538507</v>
      </c>
      <c r="W240" t="str">
        <f t="shared" si="209"/>
        <v>1-0,0414945242401062i</v>
      </c>
      <c r="X240" s="4">
        <f t="shared" si="223"/>
        <v>1.0008605275171525</v>
      </c>
      <c r="Y240" s="4">
        <f t="shared" si="224"/>
        <v>-4.1470733783705124E-2</v>
      </c>
      <c r="Z240" t="str">
        <f t="shared" si="210"/>
        <v>0,999988983085187+0,00570101202110989i</v>
      </c>
      <c r="AA240" s="4">
        <f t="shared" si="225"/>
        <v>1.0000052339012089</v>
      </c>
      <c r="AB240" s="4">
        <f t="shared" si="226"/>
        <v>5.7010130646423275E-3</v>
      </c>
      <c r="AC240" s="47" t="str">
        <f t="shared" si="227"/>
        <v>0,6551633335694-1,33076349554585i</v>
      </c>
      <c r="AD240" s="20">
        <f t="shared" si="228"/>
        <v>3.4245633235253536</v>
      </c>
      <c r="AE240" s="43">
        <f t="shared" si="229"/>
        <v>-63.78799028312114</v>
      </c>
      <c r="AF240" t="str">
        <f t="shared" si="211"/>
        <v>171,265703090588</v>
      </c>
      <c r="AG240" t="str">
        <f t="shared" si="212"/>
        <v>1+41,1623439245267i</v>
      </c>
      <c r="AH240">
        <f t="shared" si="230"/>
        <v>41.174489157256339</v>
      </c>
      <c r="AI240">
        <f t="shared" si="231"/>
        <v>1.5465070555652083</v>
      </c>
      <c r="AJ240" t="str">
        <f t="shared" si="213"/>
        <v>1+0,521374603639965i</v>
      </c>
      <c r="AK240">
        <f t="shared" si="232"/>
        <v>1.1277550608712561</v>
      </c>
      <c r="AL240">
        <f t="shared" si="233"/>
        <v>0.48060070738538507</v>
      </c>
      <c r="AM240" t="str">
        <f t="shared" si="214"/>
        <v>1-0,0131095536468058i</v>
      </c>
      <c r="AN240">
        <f t="shared" si="234"/>
        <v>1.000085926506727</v>
      </c>
      <c r="AO240">
        <f t="shared" si="235"/>
        <v>-1.3108802719873087E-2</v>
      </c>
      <c r="AP240" s="41" t="str">
        <f t="shared" si="236"/>
        <v>2,21522201388268-4,13535926117039i</v>
      </c>
      <c r="AQ240">
        <f t="shared" si="237"/>
        <v>13.425885652193642</v>
      </c>
      <c r="AR240" s="43">
        <f t="shared" si="238"/>
        <v>-61.823014177224316</v>
      </c>
      <c r="AS240" t="str">
        <f t="shared" si="215"/>
        <v>-0,0000166666666666667</v>
      </c>
      <c r="AT240" t="str">
        <f t="shared" si="216"/>
        <v>0,0000345567087292569i</v>
      </c>
      <c r="AU240">
        <f t="shared" si="239"/>
        <v>3.4556708729256901E-5</v>
      </c>
      <c r="AV240">
        <f t="shared" si="240"/>
        <v>1.5707963267948966</v>
      </c>
      <c r="AW240" t="str">
        <f t="shared" si="217"/>
        <v>1+0,0116294540437737i</v>
      </c>
      <c r="AX240">
        <f t="shared" si="241"/>
        <v>1.0000676198144585</v>
      </c>
      <c r="AY240">
        <f t="shared" si="242"/>
        <v>1.162892981423766E-2</v>
      </c>
      <c r="AZ240" t="str">
        <f t="shared" si="218"/>
        <v>1+2,75285790721901i</v>
      </c>
      <c r="BA240">
        <f t="shared" si="243"/>
        <v>2.9288609829314578</v>
      </c>
      <c r="BB240">
        <f t="shared" si="244"/>
        <v>1.2223587873087514</v>
      </c>
      <c r="BC240" s="41" t="str">
        <f t="shared" si="245"/>
        <v>-1,32191300852236+0,497672144039429i</v>
      </c>
      <c r="BD240">
        <f t="shared" si="246"/>
        <v>2.9997153966825691</v>
      </c>
      <c r="BE240" s="43">
        <f t="shared" si="247"/>
        <v>159.36971096491129</v>
      </c>
      <c r="BF240" s="41" t="str">
        <f t="shared" si="248"/>
        <v>-0,203785011314556+2,08521011694225i</v>
      </c>
      <c r="BG240" s="20">
        <f t="shared" si="249"/>
        <v>6.4242787202079228</v>
      </c>
      <c r="BH240" s="43">
        <f t="shared" si="250"/>
        <v>95.581720681790159</v>
      </c>
      <c r="BI240" s="41" t="str">
        <f t="shared" si="203"/>
        <v>-0,870277687036638+6,56903949142689i</v>
      </c>
      <c r="BJ240" s="20">
        <f t="shared" si="251"/>
        <v>16.425601048876214</v>
      </c>
      <c r="BK240" s="43">
        <f t="shared" si="204"/>
        <v>97.546696787686983</v>
      </c>
      <c r="BL240">
        <f t="shared" si="252"/>
        <v>6.4242787202079228</v>
      </c>
      <c r="BM240" s="43">
        <f t="shared" si="253"/>
        <v>95.581720681790159</v>
      </c>
    </row>
    <row r="241" spans="14:65" x14ac:dyDescent="0.25">
      <c r="N241" s="9">
        <v>23</v>
      </c>
      <c r="O241" s="34">
        <f t="shared" si="254"/>
        <v>1698.2436524617447</v>
      </c>
      <c r="P241" s="33" t="str">
        <f t="shared" si="206"/>
        <v>54,631621870174</v>
      </c>
      <c r="Q241" s="4" t="str">
        <f t="shared" si="207"/>
        <v>1+42,528133058729i</v>
      </c>
      <c r="R241" s="4">
        <f t="shared" si="219"/>
        <v>42.539888357410597</v>
      </c>
      <c r="S241" s="4">
        <f t="shared" si="220"/>
        <v>1.5472868122952446</v>
      </c>
      <c r="T241" s="4" t="str">
        <f t="shared" si="208"/>
        <v>1+0,53351897825793i</v>
      </c>
      <c r="U241" s="4">
        <f t="shared" si="221"/>
        <v>1.1334207074874649</v>
      </c>
      <c r="V241" s="4">
        <f t="shared" si="222"/>
        <v>0.49010184835811593</v>
      </c>
      <c r="W241" t="str">
        <f t="shared" si="209"/>
        <v>1-0,0424610558729244i</v>
      </c>
      <c r="X241" s="4">
        <f t="shared" si="223"/>
        <v>1.0009010646741483</v>
      </c>
      <c r="Y241" s="4">
        <f t="shared" si="224"/>
        <v>-4.2435565178907418E-2</v>
      </c>
      <c r="Z241" t="str">
        <f t="shared" si="210"/>
        <v>0,999988463873988+0,00583380565011007i</v>
      </c>
      <c r="AA241" s="4">
        <f t="shared" si="225"/>
        <v>1.0000054805696923</v>
      </c>
      <c r="AB241" s="4">
        <f t="shared" si="226"/>
        <v>5.8338067682679028E-3</v>
      </c>
      <c r="AC241" s="47" t="str">
        <f t="shared" si="227"/>
        <v>0,653749351586071-1,30197889783213i</v>
      </c>
      <c r="AD241" s="20">
        <f t="shared" si="228"/>
        <v>3.2685532383234155</v>
      </c>
      <c r="AE241" s="43">
        <f t="shared" si="229"/>
        <v>-63.337867890607882</v>
      </c>
      <c r="AF241" t="str">
        <f t="shared" si="211"/>
        <v>171,265703090588</v>
      </c>
      <c r="AG241" t="str">
        <f t="shared" si="212"/>
        <v>1+42,1211380838183i</v>
      </c>
      <c r="AH241">
        <f t="shared" si="230"/>
        <v>42.133006936083831</v>
      </c>
      <c r="AI241">
        <f t="shared" si="231"/>
        <v>1.5470597368103711</v>
      </c>
      <c r="AJ241" t="str">
        <f t="shared" si="213"/>
        <v>1+0,53351897825793i</v>
      </c>
      <c r="AK241">
        <f t="shared" si="232"/>
        <v>1.1334207074874649</v>
      </c>
      <c r="AL241">
        <f t="shared" si="233"/>
        <v>0.49010184835811593</v>
      </c>
      <c r="AM241" t="str">
        <f t="shared" si="214"/>
        <v>1-0,0134149143787049i</v>
      </c>
      <c r="AN241">
        <f t="shared" si="234"/>
        <v>1.0000899759160613</v>
      </c>
      <c r="AO241">
        <f t="shared" si="235"/>
        <v>-1.3414109749909387E-2</v>
      </c>
      <c r="AP241" s="41" t="str">
        <f t="shared" si="236"/>
        <v>2,21073398584451-4,04264330379908i</v>
      </c>
      <c r="AQ241">
        <f t="shared" si="237"/>
        <v>13.269563282714715</v>
      </c>
      <c r="AR241" s="43">
        <f t="shared" si="238"/>
        <v>-61.327798005968539</v>
      </c>
      <c r="AS241" t="str">
        <f t="shared" si="215"/>
        <v>-0,0000166666666666667</v>
      </c>
      <c r="AT241" t="str">
        <f t="shared" si="216"/>
        <v>0,0000353616378789357i</v>
      </c>
      <c r="AU241">
        <f t="shared" si="239"/>
        <v>3.5361637878935703E-5</v>
      </c>
      <c r="AV241">
        <f t="shared" si="240"/>
        <v>1.5707963267948966</v>
      </c>
      <c r="AW241" t="str">
        <f t="shared" si="217"/>
        <v>1+0,0119003388270447i</v>
      </c>
      <c r="AX241">
        <f t="shared" si="241"/>
        <v>1.0000708065253172</v>
      </c>
      <c r="AY241">
        <f t="shared" si="242"/>
        <v>1.189977710712441E-2</v>
      </c>
      <c r="AZ241" t="str">
        <f t="shared" si="218"/>
        <v>1+2,81698020520187i</v>
      </c>
      <c r="BA241">
        <f t="shared" si="243"/>
        <v>2.9892101760329886</v>
      </c>
      <c r="BB241">
        <f t="shared" si="244"/>
        <v>1.2296829460792731</v>
      </c>
      <c r="BC241" s="41" t="str">
        <f t="shared" si="245"/>
        <v>-1,32190458402321+0,487051663936251i</v>
      </c>
      <c r="BD241">
        <f t="shared" si="246"/>
        <v>2.9768415883206636</v>
      </c>
      <c r="BE241" s="43">
        <f t="shared" si="247"/>
        <v>159.77383594417086</v>
      </c>
      <c r="BF241" s="41" t="str">
        <f t="shared" si="248"/>
        <v>-0,230063276064803+2,03950158283302i</v>
      </c>
      <c r="BG241" s="20">
        <f t="shared" si="249"/>
        <v>6.245394826644076</v>
      </c>
      <c r="BH241" s="43">
        <f t="shared" si="250"/>
        <v>96.435968053562959</v>
      </c>
      <c r="BI241" s="41" t="str">
        <f t="shared" si="203"/>
        <v>-0,953403242127675+6,42073038118873i</v>
      </c>
      <c r="BJ241" s="20">
        <f t="shared" si="251"/>
        <v>16.246404871035384</v>
      </c>
      <c r="BK241" s="43">
        <f t="shared" si="204"/>
        <v>98.446037938202309</v>
      </c>
      <c r="BL241">
        <f t="shared" si="252"/>
        <v>6.245394826644076</v>
      </c>
      <c r="BM241" s="43">
        <f t="shared" si="253"/>
        <v>96.435968053562959</v>
      </c>
    </row>
    <row r="242" spans="14:65" x14ac:dyDescent="0.25">
      <c r="N242" s="9">
        <v>24</v>
      </c>
      <c r="O242" s="34">
        <f t="shared" si="254"/>
        <v>1737.8008287493772</v>
      </c>
      <c r="P242" s="33" t="str">
        <f t="shared" si="206"/>
        <v>54,631621870174</v>
      </c>
      <c r="Q242" s="4" t="str">
        <f t="shared" si="207"/>
        <v>1+43,518740533781i</v>
      </c>
      <c r="R242" s="4">
        <f t="shared" si="219"/>
        <v>43.530228320634308</v>
      </c>
      <c r="S242" s="4">
        <f t="shared" si="220"/>
        <v>1.5478217636979736</v>
      </c>
      <c r="T242" s="4" t="str">
        <f t="shared" si="208"/>
        <v>1+0,54594623170013i</v>
      </c>
      <c r="U242" s="4">
        <f t="shared" si="221"/>
        <v>1.1393231709693137</v>
      </c>
      <c r="V242" s="4">
        <f t="shared" si="222"/>
        <v>0.49972558625480623</v>
      </c>
      <c r="W242" t="str">
        <f t="shared" si="209"/>
        <v>1-0,0434501009196053i</v>
      </c>
      <c r="X242" s="4">
        <f t="shared" si="223"/>
        <v>1.0009435105289028</v>
      </c>
      <c r="Y242" s="4">
        <f t="shared" si="224"/>
        <v>-4.3422788539211811E-2</v>
      </c>
      <c r="Z242" t="str">
        <f t="shared" si="210"/>
        <v>0,999987920193118+0,00596969244008553i</v>
      </c>
      <c r="AA242" s="4">
        <f t="shared" si="225"/>
        <v>1.0000057388635262</v>
      </c>
      <c r="AB242" s="4">
        <f t="shared" si="226"/>
        <v>5.9696936382050269E-3</v>
      </c>
      <c r="AC242" s="47" t="str">
        <f t="shared" si="227"/>
        <v>0,65239817837077-1,27388164908776i</v>
      </c>
      <c r="AD242" s="20">
        <f t="shared" si="228"/>
        <v>3.1141430899968245</v>
      </c>
      <c r="AE242" s="43">
        <f t="shared" si="229"/>
        <v>-62.881468259729246</v>
      </c>
      <c r="AF242" t="str">
        <f t="shared" si="211"/>
        <v>171,265703090588</v>
      </c>
      <c r="AG242" t="str">
        <f t="shared" si="212"/>
        <v>1+43,1022654280614i</v>
      </c>
      <c r="AH242">
        <f t="shared" si="230"/>
        <v>43.113864185793609</v>
      </c>
      <c r="AI242">
        <f t="shared" si="231"/>
        <v>1.5475998515095641</v>
      </c>
      <c r="AJ242" t="str">
        <f t="shared" si="213"/>
        <v>1+0,54594623170013i</v>
      </c>
      <c r="AK242">
        <f t="shared" si="232"/>
        <v>1.1393231709693137</v>
      </c>
      <c r="AL242">
        <f t="shared" si="233"/>
        <v>0.49972558625480623</v>
      </c>
      <c r="AM242" t="str">
        <f t="shared" si="214"/>
        <v>1-0,0137273878757751i</v>
      </c>
      <c r="AN242">
        <f t="shared" si="234"/>
        <v>1.0000942161506046</v>
      </c>
      <c r="AO242">
        <f t="shared" si="235"/>
        <v>-1.3726525704873871E-2</v>
      </c>
      <c r="AP242" s="41" t="str">
        <f t="shared" si="236"/>
        <v>2,20644772988276-3,95206122091237i</v>
      </c>
      <c r="AQ242">
        <f t="shared" si="237"/>
        <v>13.114825960713095</v>
      </c>
      <c r="AR242" s="43">
        <f t="shared" si="238"/>
        <v>-60.82524484973694</v>
      </c>
      <c r="AS242" t="str">
        <f t="shared" si="215"/>
        <v>-0,0000166666666666667</v>
      </c>
      <c r="AT242" t="str">
        <f t="shared" si="216"/>
        <v>0,0000361853162370846i</v>
      </c>
      <c r="AU242">
        <f t="shared" si="239"/>
        <v>3.6185316237084601E-5</v>
      </c>
      <c r="AV242">
        <f t="shared" si="240"/>
        <v>1.5707963267948966</v>
      </c>
      <c r="AW242" t="str">
        <f t="shared" si="217"/>
        <v>1+0,0121775333274815i</v>
      </c>
      <c r="AX242">
        <f t="shared" si="241"/>
        <v>1.0000741434103484</v>
      </c>
      <c r="AY242">
        <f t="shared" si="242"/>
        <v>1.2176931436152793E-2</v>
      </c>
      <c r="AZ242" t="str">
        <f t="shared" si="218"/>
        <v>1+2,88259610337668i</v>
      </c>
      <c r="BA242">
        <f t="shared" si="243"/>
        <v>3.0511244312879833</v>
      </c>
      <c r="BB242">
        <f t="shared" si="244"/>
        <v>1.2368773771004471</v>
      </c>
      <c r="BC242" s="41" t="str">
        <f t="shared" si="245"/>
        <v>-1,32189576260475+0,476689415621389i</v>
      </c>
      <c r="BD242">
        <f t="shared" si="246"/>
        <v>2.9548819548580392</v>
      </c>
      <c r="BE242" s="43">
        <f t="shared" si="247"/>
        <v>160.17016670435513</v>
      </c>
      <c r="BF242" s="41" t="str">
        <f t="shared" si="248"/>
        <v>-0,255156488644923+1,99493006038908i</v>
      </c>
      <c r="BG242" s="20">
        <f t="shared" si="249"/>
        <v>6.0690250448548539</v>
      </c>
      <c r="BH242" s="43">
        <f t="shared" si="250"/>
        <v>97.288698444625894</v>
      </c>
      <c r="BI242" s="41" t="str">
        <f t="shared" ref="BI242:BI305" si="255">IMPRODUCT(AP242,BC242)</f>
        <v>-1,03278815064422+6,27600326043557i</v>
      </c>
      <c r="BJ242" s="20">
        <f t="shared" si="251"/>
        <v>16.069707915571133</v>
      </c>
      <c r="BK242" s="43">
        <f t="shared" ref="BK242:BK305" si="256">(180/PI())*IMARGUMENT(BI242)</f>
        <v>99.344921854618192</v>
      </c>
      <c r="BL242">
        <f t="shared" si="252"/>
        <v>6.0690250448548539</v>
      </c>
      <c r="BM242" s="43">
        <f t="shared" si="253"/>
        <v>97.288698444625894</v>
      </c>
    </row>
    <row r="243" spans="14:65" x14ac:dyDescent="0.25">
      <c r="N243" s="9">
        <v>25</v>
      </c>
      <c r="O243" s="34">
        <f t="shared" si="254"/>
        <v>1778.2794100389244</v>
      </c>
      <c r="P243" s="33" t="str">
        <f t="shared" si="206"/>
        <v>54,631621870174</v>
      </c>
      <c r="Q243" s="4" t="str">
        <f t="shared" si="207"/>
        <v>1+44,5324222211027i</v>
      </c>
      <c r="R243" s="4">
        <f t="shared" si="219"/>
        <v>44.543648580673782</v>
      </c>
      <c r="S243" s="4">
        <f t="shared" si="220"/>
        <v>1.5483445508287419</v>
      </c>
      <c r="T243" s="4" t="str">
        <f t="shared" si="208"/>
        <v>1+0,55866295306083i</v>
      </c>
      <c r="U243" s="4">
        <f t="shared" si="221"/>
        <v>1.1454712109532248</v>
      </c>
      <c r="V243" s="4">
        <f t="shared" si="222"/>
        <v>0.50946989239315199</v>
      </c>
      <c r="W243" t="str">
        <f t="shared" si="209"/>
        <v>1-0,0444621837849238i</v>
      </c>
      <c r="X243" s="4">
        <f t="shared" si="223"/>
        <v>1.0009879548660534</v>
      </c>
      <c r="Y243" s="4">
        <f t="shared" si="224"/>
        <v>-4.4432919601864615E-2</v>
      </c>
      <c r="Z243" t="str">
        <f t="shared" si="210"/>
        <v>0,999987350889359+0,00610874444001094i</v>
      </c>
      <c r="AA243" s="4">
        <f t="shared" si="225"/>
        <v>1.0000060093306196</v>
      </c>
      <c r="AB243" s="4">
        <f t="shared" si="226"/>
        <v>6.1087457238098953E-3</v>
      </c>
      <c r="AC243" s="47" t="str">
        <f t="shared" si="227"/>
        <v>0,651106957135847-1,24645704989827i</v>
      </c>
      <c r="AD243" s="20">
        <f t="shared" si="228"/>
        <v>2.9613745350948588</v>
      </c>
      <c r="AE243" s="43">
        <f t="shared" si="229"/>
        <v>-62.418957484178122</v>
      </c>
      <c r="AF243" t="str">
        <f t="shared" si="211"/>
        <v>171,265703090588</v>
      </c>
      <c r="AG243" t="str">
        <f t="shared" si="212"/>
        <v>1+44,1062461639604i</v>
      </c>
      <c r="AH243">
        <f t="shared" si="230"/>
        <v>44.117580970355476</v>
      </c>
      <c r="AI243">
        <f t="shared" si="231"/>
        <v>1.5481276847775129</v>
      </c>
      <c r="AJ243" t="str">
        <f t="shared" si="213"/>
        <v>1+0,55866295306083i</v>
      </c>
      <c r="AK243">
        <f t="shared" si="232"/>
        <v>1.1454712109532248</v>
      </c>
      <c r="AL243">
        <f t="shared" si="233"/>
        <v>0.50946989239315199</v>
      </c>
      <c r="AM243" t="str">
        <f t="shared" si="214"/>
        <v>1-0,0140471398156005i</v>
      </c>
      <c r="AN243">
        <f t="shared" si="234"/>
        <v>1.0000986562019765</v>
      </c>
      <c r="AO243">
        <f t="shared" si="235"/>
        <v>-1.4046215987757332E-2</v>
      </c>
      <c r="AP243" s="41" t="str">
        <f t="shared" si="236"/>
        <v>2,20235418431664-3,86356562400127i</v>
      </c>
      <c r="AQ243">
        <f t="shared" si="237"/>
        <v>12.961714653016475</v>
      </c>
      <c r="AR243" s="43">
        <f t="shared" si="238"/>
        <v>-60.315496756226842</v>
      </c>
      <c r="AS243" t="str">
        <f t="shared" si="215"/>
        <v>-0,0000166666666666667</v>
      </c>
      <c r="AT243" t="str">
        <f t="shared" si="216"/>
        <v>0,0000370281805288717i</v>
      </c>
      <c r="AU243">
        <f t="shared" si="239"/>
        <v>3.7028180528871703E-5</v>
      </c>
      <c r="AV243">
        <f t="shared" si="240"/>
        <v>1.5707963267948966</v>
      </c>
      <c r="AW243" t="str">
        <f t="shared" si="217"/>
        <v>1+0,0124611845172772i</v>
      </c>
      <c r="AX243">
        <f t="shared" si="241"/>
        <v>1.0000776375459925</v>
      </c>
      <c r="AY243">
        <f t="shared" si="242"/>
        <v>1.2460539581802897E-2</v>
      </c>
      <c r="AZ243" t="str">
        <f t="shared" si="218"/>
        <v>1+2,94974039216118i</v>
      </c>
      <c r="BA243">
        <f t="shared" si="243"/>
        <v>3.1146377608234301</v>
      </c>
      <c r="BB243">
        <f t="shared" si="244"/>
        <v>1.2439429149541714</v>
      </c>
      <c r="BC243" s="41" t="str">
        <f t="shared" si="245"/>
        <v>-1,32188652557182+0,466579904217918i</v>
      </c>
      <c r="BD243">
        <f t="shared" si="246"/>
        <v>2.9338041092188707</v>
      </c>
      <c r="BE243" s="43">
        <f t="shared" si="247"/>
        <v>160.55874265358202</v>
      </c>
      <c r="BF243" s="41" t="str">
        <f t="shared" si="248"/>
        <v>-0,279117702390661+1,95146820066059i</v>
      </c>
      <c r="BG243" s="20">
        <f t="shared" si="249"/>
        <v>5.8951786443137344</v>
      </c>
      <c r="BH243" s="43">
        <f t="shared" si="250"/>
        <v>98.139785169403865</v>
      </c>
      <c r="BI243" s="41" t="str">
        <f t="shared" si="255"/>
        <v>-1,10860024199873+6,13476954340215i</v>
      </c>
      <c r="BJ243" s="20">
        <f t="shared" si="251"/>
        <v>15.89551876223535</v>
      </c>
      <c r="BK243" s="43">
        <f t="shared" si="256"/>
        <v>100.24324589735517</v>
      </c>
      <c r="BL243">
        <f t="shared" si="252"/>
        <v>5.8951786443137344</v>
      </c>
      <c r="BM243" s="43">
        <f t="shared" si="253"/>
        <v>98.139785169403865</v>
      </c>
    </row>
    <row r="244" spans="14:65" x14ac:dyDescent="0.25">
      <c r="N244" s="9">
        <v>26</v>
      </c>
      <c r="O244" s="34">
        <f t="shared" si="254"/>
        <v>1819.7008586099832</v>
      </c>
      <c r="P244" s="33" t="str">
        <f t="shared" si="206"/>
        <v>54,631621870174</v>
      </c>
      <c r="Q244" s="4" t="str">
        <f t="shared" si="207"/>
        <v>1+45,5697155881418i</v>
      </c>
      <c r="R244" s="4">
        <f t="shared" si="219"/>
        <v>45.580686466793516</v>
      </c>
      <c r="S244" s="4">
        <f t="shared" si="220"/>
        <v>1.5488554497325018</v>
      </c>
      <c r="T244" s="4" t="str">
        <f t="shared" si="208"/>
        <v>1+0,571675884914015i</v>
      </c>
      <c r="U244" s="4">
        <f t="shared" si="221"/>
        <v>1.1518738287643409</v>
      </c>
      <c r="V244" s="4">
        <f t="shared" si="222"/>
        <v>0.51933253070427454</v>
      </c>
      <c r="W244" t="str">
        <f t="shared" si="209"/>
        <v>1-0,0454978410886112i</v>
      </c>
      <c r="X244" s="4">
        <f t="shared" si="223"/>
        <v>1.0010344916853389</v>
      </c>
      <c r="Y244" s="4">
        <f t="shared" si="224"/>
        <v>-4.5466485701413366E-2</v>
      </c>
      <c r="Z244" t="str">
        <f t="shared" si="210"/>
        <v>0,999986754755141+0,00625103537709717i</v>
      </c>
      <c r="AA244" s="4">
        <f t="shared" si="225"/>
        <v>1.000006292544704</v>
      </c>
      <c r="AB244" s="4">
        <f t="shared" si="226"/>
        <v>6.251036752702192E-3</v>
      </c>
      <c r="AC244" s="47" t="str">
        <f t="shared" si="227"/>
        <v>0,649872957448567-1,21969074426668i</v>
      </c>
      <c r="AD244" s="20">
        <f t="shared" si="228"/>
        <v>2.8102890433119665</v>
      </c>
      <c r="AE244" s="43">
        <f t="shared" si="229"/>
        <v>-61.950513935800174</v>
      </c>
      <c r="AF244" t="str">
        <f t="shared" si="211"/>
        <v>171,265703090588</v>
      </c>
      <c r="AG244" t="str">
        <f t="shared" si="212"/>
        <v>1+45,1336126153903i</v>
      </c>
      <c r="AH244">
        <f t="shared" si="230"/>
        <v>45.144689474135475</v>
      </c>
      <c r="AI244">
        <f t="shared" si="231"/>
        <v>1.5486435153012601</v>
      </c>
      <c r="AJ244" t="str">
        <f t="shared" si="213"/>
        <v>1+0,571675884914015i</v>
      </c>
      <c r="AK244">
        <f t="shared" si="232"/>
        <v>1.1518738287643409</v>
      </c>
      <c r="AL244">
        <f t="shared" si="233"/>
        <v>0.51933253070427454</v>
      </c>
      <c r="AM244" t="str">
        <f t="shared" si="214"/>
        <v>1-0,0143743397348919i</v>
      </c>
      <c r="AN244">
        <f t="shared" si="234"/>
        <v>1.0001033054853954</v>
      </c>
      <c r="AO244">
        <f t="shared" si="235"/>
        <v>-1.4373349841045635E-2</v>
      </c>
      <c r="AP244" s="41" t="str">
        <f t="shared" si="236"/>
        <v>2,19844469358921-3,77711018824216i</v>
      </c>
      <c r="AQ244">
        <f t="shared" si="237"/>
        <v>12.810270106964845</v>
      </c>
      <c r="AR244" s="43">
        <f t="shared" si="238"/>
        <v>-59.79870750721949</v>
      </c>
      <c r="AS244" t="str">
        <f t="shared" si="215"/>
        <v>-0,0000166666666666667</v>
      </c>
      <c r="AT244" t="str">
        <f t="shared" si="216"/>
        <v>0,000037890677652101i</v>
      </c>
      <c r="AU244">
        <f t="shared" si="239"/>
        <v>3.7890677652101003E-5</v>
      </c>
      <c r="AV244">
        <f t="shared" si="240"/>
        <v>1.5707963267948966</v>
      </c>
      <c r="AW244" t="str">
        <f t="shared" si="217"/>
        <v>1+0,0127514427920471i</v>
      </c>
      <c r="AX244">
        <f t="shared" si="241"/>
        <v>1.0000812963420918</v>
      </c>
      <c r="AY244">
        <f t="shared" si="242"/>
        <v>1.2750751734269726E-2</v>
      </c>
      <c r="AZ244" t="str">
        <f t="shared" si="218"/>
        <v>1+3,018448672346i</v>
      </c>
      <c r="BA244">
        <f t="shared" si="243"/>
        <v>3.1797849593309495</v>
      </c>
      <c r="BB244">
        <f t="shared" si="244"/>
        <v>1.250880483169452</v>
      </c>
      <c r="BC244" s="41" t="str">
        <f t="shared" si="245"/>
        <v>-1,3218768533493+0,456717768805061i</v>
      </c>
      <c r="BD244">
        <f t="shared" si="246"/>
        <v>2.9135764563439466</v>
      </c>
      <c r="BE244" s="43">
        <f t="shared" si="247"/>
        <v>160.93960810090201</v>
      </c>
      <c r="BF244" s="41" t="str">
        <f t="shared" si="248"/>
        <v>-0,301997584715253+1,90908949022316i</v>
      </c>
      <c r="BG244" s="20">
        <f t="shared" si="249"/>
        <v>5.7238654996559095</v>
      </c>
      <c r="BH244" s="43">
        <f t="shared" si="250"/>
        <v>98.989094165101847</v>
      </c>
      <c r="BI244" s="41" t="str">
        <f t="shared" si="255"/>
        <v>-1,18099981611935+5,99694328568452i</v>
      </c>
      <c r="BJ244" s="20">
        <f t="shared" si="251"/>
        <v>15.723846563308793</v>
      </c>
      <c r="BK244" s="43">
        <f t="shared" si="256"/>
        <v>101.14090059368255</v>
      </c>
      <c r="BL244">
        <f t="shared" si="252"/>
        <v>5.7238654996559095</v>
      </c>
      <c r="BM244" s="43">
        <f t="shared" si="253"/>
        <v>98.989094165101847</v>
      </c>
    </row>
    <row r="245" spans="14:65" x14ac:dyDescent="0.25">
      <c r="N245" s="9">
        <v>27</v>
      </c>
      <c r="O245" s="34">
        <f t="shared" si="254"/>
        <v>1862.0871366628687</v>
      </c>
      <c r="P245" s="33" t="str">
        <f t="shared" si="206"/>
        <v>54,631621870174</v>
      </c>
      <c r="Q245" s="4" t="str">
        <f t="shared" si="207"/>
        <v>1+46,6311706215725i</v>
      </c>
      <c r="R245" s="4">
        <f t="shared" si="219"/>
        <v>46.641891830608742</v>
      </c>
      <c r="S245" s="4">
        <f t="shared" si="220"/>
        <v>1.5493547302271742</v>
      </c>
      <c r="T245" s="4" t="str">
        <f t="shared" si="208"/>
        <v>1+0,58499192688841i</v>
      </c>
      <c r="U245" s="4">
        <f t="shared" si="221"/>
        <v>1.1585402688403259</v>
      </c>
      <c r="V245" s="4">
        <f t="shared" si="222"/>
        <v>0.52931105497488407</v>
      </c>
      <c r="W245" t="str">
        <f t="shared" si="209"/>
        <v>1-0,0465576219498792i</v>
      </c>
      <c r="X245" s="4">
        <f t="shared" si="223"/>
        <v>1.0010832193986812</v>
      </c>
      <c r="Y245" s="4">
        <f t="shared" si="224"/>
        <v>-4.6524026010328984E-2</v>
      </c>
      <c r="Z245" t="str">
        <f t="shared" si="210"/>
        <v>0,999986130525982+0,00639664069588261i</v>
      </c>
      <c r="AA245" s="4">
        <f t="shared" si="225"/>
        <v>1.000006589106551</v>
      </c>
      <c r="AB245" s="4">
        <f t="shared" si="226"/>
        <v>6.396642169858348E-3</v>
      </c>
      <c r="AC245" s="47" t="str">
        <f t="shared" si="227"/>
        <v>0,648693569510811-1,19356871288027i</v>
      </c>
      <c r="AD245" s="20">
        <f t="shared" si="228"/>
        <v>2.6609278011018578</v>
      </c>
      <c r="AE245" s="43">
        <f t="shared" si="229"/>
        <v>-61.476328446706376</v>
      </c>
      <c r="AF245" t="str">
        <f t="shared" si="211"/>
        <v>171,265703090588</v>
      </c>
      <c r="AG245" t="str">
        <f t="shared" si="212"/>
        <v>1+46,1849095056431i</v>
      </c>
      <c r="AH245">
        <f t="shared" si="230"/>
        <v>46.195734284070454</v>
      </c>
      <c r="AI245">
        <f t="shared" si="231"/>
        <v>1.5491476154823258</v>
      </c>
      <c r="AJ245" t="str">
        <f t="shared" si="213"/>
        <v>1+0,58499192688841i</v>
      </c>
      <c r="AK245">
        <f t="shared" si="232"/>
        <v>1.1585402688403259</v>
      </c>
      <c r="AL245">
        <f t="shared" si="233"/>
        <v>0.52931105497488407</v>
      </c>
      <c r="AM245" t="str">
        <f t="shared" si="214"/>
        <v>1-0,0147091611193776i</v>
      </c>
      <c r="AN245">
        <f t="shared" si="234"/>
        <v>1.000108173859626</v>
      </c>
      <c r="AO245">
        <f t="shared" si="235"/>
        <v>-1.4708100435207348E-2</v>
      </c>
      <c r="AP245" s="41" t="str">
        <f t="shared" si="236"/>
        <v>2,19471099013983-3,69264963076968i</v>
      </c>
      <c r="AQ245">
        <f t="shared" si="237"/>
        <v>12.660532752531461</v>
      </c>
      <c r="AR245" s="43">
        <f t="shared" si="238"/>
        <v>-59.275042789806513</v>
      </c>
      <c r="AS245" t="str">
        <f t="shared" si="215"/>
        <v>-0,0000166666666666667</v>
      </c>
      <c r="AT245" t="str">
        <f t="shared" si="216"/>
        <v>0,000038773264914164i</v>
      </c>
      <c r="AU245">
        <f t="shared" si="239"/>
        <v>3.8773264914164E-5</v>
      </c>
      <c r="AV245">
        <f t="shared" si="240"/>
        <v>1.5707963267948966</v>
      </c>
      <c r="AW245" t="str">
        <f t="shared" si="217"/>
        <v>1+0,0130484620505707i</v>
      </c>
      <c r="AX245">
        <f t="shared" si="241"/>
        <v>1.0000851275575919</v>
      </c>
      <c r="AY245">
        <f t="shared" si="242"/>
        <v>1.304772157222535E-2</v>
      </c>
      <c r="AZ245" t="str">
        <f t="shared" si="218"/>
        <v>1+3,0887573739708i</v>
      </c>
      <c r="BA245">
        <f t="shared" si="243"/>
        <v>3.2466016255862056</v>
      </c>
      <c r="BB245">
        <f t="shared" si="244"/>
        <v>1.2576910880123273</v>
      </c>
      <c r="BC245" s="41" t="str">
        <f t="shared" si="245"/>
        <v>-1,32186672544068+0,447097779572318i</v>
      </c>
      <c r="BD245">
        <f t="shared" si="246"/>
        <v>2.8941682017829979</v>
      </c>
      <c r="BE245" s="43">
        <f t="shared" si="247"/>
        <v>161.31281189597254</v>
      </c>
      <c r="BF245" s="41" t="str">
        <f t="shared" si="248"/>
        <v>-0,323844523247924+1,86776822063461i</v>
      </c>
      <c r="BG245" s="20">
        <f t="shared" si="249"/>
        <v>5.5550960028848353</v>
      </c>
      <c r="BH245" s="43">
        <f t="shared" si="250"/>
        <v>99.836483449266225</v>
      </c>
      <c r="BI245" s="41" t="str">
        <f t="shared" si="255"/>
        <v>-1,25013997916915+5,86244108611973i</v>
      </c>
      <c r="BJ245" s="20">
        <f t="shared" si="251"/>
        <v>15.554700954314454</v>
      </c>
      <c r="BK245" s="43">
        <f t="shared" si="256"/>
        <v>102.0377691061661</v>
      </c>
      <c r="BL245">
        <f t="shared" si="252"/>
        <v>5.5550960028848353</v>
      </c>
      <c r="BM245" s="43">
        <f t="shared" si="253"/>
        <v>99.836483449266225</v>
      </c>
    </row>
    <row r="246" spans="14:65" x14ac:dyDescent="0.25">
      <c r="N246" s="9">
        <v>28</v>
      </c>
      <c r="O246" s="34">
        <f t="shared" si="254"/>
        <v>1905.4607179632501</v>
      </c>
      <c r="P246" s="33" t="str">
        <f t="shared" si="206"/>
        <v>54,631621870174</v>
      </c>
      <c r="Q246" s="4" t="str">
        <f t="shared" si="207"/>
        <v>1+47,7173501189037i</v>
      </c>
      <c r="R246" s="4">
        <f t="shared" si="219"/>
        <v>47.727827337623893</v>
      </c>
      <c r="S246" s="4">
        <f t="shared" si="220"/>
        <v>1.5498426560416265</v>
      </c>
      <c r="T246" s="4" t="str">
        <f t="shared" si="208"/>
        <v>1+0,59861813932573i</v>
      </c>
      <c r="U246" s="4">
        <f t="shared" si="221"/>
        <v>1.1654800198758446</v>
      </c>
      <c r="V246" s="4">
        <f t="shared" si="222"/>
        <v>0.53940280677396724</v>
      </c>
      <c r="W246" t="str">
        <f t="shared" si="209"/>
        <v>1-0,0476420882785683i</v>
      </c>
      <c r="X246" s="4">
        <f t="shared" si="223"/>
        <v>1.001134241036407</v>
      </c>
      <c r="Y246" s="4">
        <f t="shared" si="224"/>
        <v>-4.7606091783145732E-2</v>
      </c>
      <c r="Z246" t="str">
        <f t="shared" si="210"/>
        <v>0,999985476877809+0,00654563759823462i</v>
      </c>
      <c r="AA246" s="4">
        <f t="shared" si="225"/>
        <v>1.0000068996452509</v>
      </c>
      <c r="AB246" s="4">
        <f t="shared" si="226"/>
        <v>6.5456391776150639E-3</v>
      </c>
      <c r="AC246" s="47" t="str">
        <f t="shared" si="227"/>
        <v>0,647566298688361-1,16807726649739i</v>
      </c>
      <c r="AD246" s="20">
        <f t="shared" si="228"/>
        <v>2.5133316116447642</v>
      </c>
      <c r="AE246" s="43">
        <f t="shared" si="229"/>
        <v>-60.996604452251482</v>
      </c>
      <c r="AF246" t="str">
        <f t="shared" si="211"/>
        <v>171,265703090588</v>
      </c>
      <c r="AG246" t="str">
        <f t="shared" si="212"/>
        <v>1+47,2606942462457i</v>
      </c>
      <c r="AH246">
        <f t="shared" si="230"/>
        <v>47.271272678415606</v>
      </c>
      <c r="AI246">
        <f t="shared" si="231"/>
        <v>1.549640251575908</v>
      </c>
      <c r="AJ246" t="str">
        <f t="shared" si="213"/>
        <v>1+0,59861813932573i</v>
      </c>
      <c r="AK246">
        <f t="shared" si="232"/>
        <v>1.1654800198758446</v>
      </c>
      <c r="AL246">
        <f t="shared" si="233"/>
        <v>0.53940280677396724</v>
      </c>
      <c r="AM246" t="str">
        <f t="shared" si="214"/>
        <v>1-0,0150517814957878i</v>
      </c>
      <c r="AN246">
        <f t="shared" si="234"/>
        <v>1.0001132716478653</v>
      </c>
      <c r="AO246">
        <f t="shared" si="235"/>
        <v>-1.5050644959174717E-2</v>
      </c>
      <c r="AP246" s="41" t="str">
        <f t="shared" si="236"/>
        <v>2,19114517707913-3,61013968931409i</v>
      </c>
      <c r="AQ246">
        <f t="shared" si="237"/>
        <v>12.512542600728827</v>
      </c>
      <c r="AR246" s="43">
        <f t="shared" si="238"/>
        <v>-58.744680328342291</v>
      </c>
      <c r="AS246" t="str">
        <f t="shared" si="215"/>
        <v>-0,0000166666666666667</v>
      </c>
      <c r="AT246" t="str">
        <f t="shared" si="216"/>
        <v>0,0000396764102745093i</v>
      </c>
      <c r="AU246">
        <f t="shared" si="239"/>
        <v>3.9676410274509303E-5</v>
      </c>
      <c r="AV246">
        <f t="shared" si="240"/>
        <v>1.5707963267948966</v>
      </c>
      <c r="AW246" t="str">
        <f t="shared" si="217"/>
        <v>1+0,0133523997763904i</v>
      </c>
      <c r="AX246">
        <f t="shared" si="241"/>
        <v>1.0000891393169853</v>
      </c>
      <c r="AY246">
        <f t="shared" si="242"/>
        <v>1.3351606343367713E-2</v>
      </c>
      <c r="AZ246" t="str">
        <f t="shared" si="218"/>
        <v>1+3,16070377563985i</v>
      </c>
      <c r="BA246">
        <f t="shared" si="243"/>
        <v>3.3151241843020003</v>
      </c>
      <c r="BB246">
        <f t="shared" si="244"/>
        <v>1.2643758124470541</v>
      </c>
      <c r="BC246" s="41" t="str">
        <f t="shared" si="245"/>
        <v>-1,32185612038479+0,437714835042844i</v>
      </c>
      <c r="BD246">
        <f t="shared" si="246"/>
        <v>2.8755493574161117</v>
      </c>
      <c r="BE246" s="43">
        <f t="shared" si="247"/>
        <v>161.6784070784457</v>
      </c>
      <c r="BF246" s="41" t="str">
        <f t="shared" si="248"/>
        <v>-0,344704727253934+1,82747945941159i</v>
      </c>
      <c r="BG246" s="20">
        <f t="shared" si="249"/>
        <v>5.388880969060871</v>
      </c>
      <c r="BH246" s="43">
        <f t="shared" si="250"/>
        <v>100.68180262619421</v>
      </c>
      <c r="BI246" s="41" t="str">
        <f t="shared" si="255"/>
        <v>-1,31616696438392+5,73118199350399i</v>
      </c>
      <c r="BJ246" s="20">
        <f t="shared" si="251"/>
        <v>15.388091958144939</v>
      </c>
      <c r="BK246" s="43">
        <f t="shared" si="256"/>
        <v>102.93372675010339</v>
      </c>
      <c r="BL246">
        <f t="shared" si="252"/>
        <v>5.388880969060871</v>
      </c>
      <c r="BM246" s="43">
        <f t="shared" si="253"/>
        <v>100.68180262619421</v>
      </c>
    </row>
    <row r="247" spans="14:65" x14ac:dyDescent="0.25">
      <c r="N247" s="9">
        <v>29</v>
      </c>
      <c r="O247" s="34">
        <f t="shared" si="254"/>
        <v>1949.8445997580463</v>
      </c>
      <c r="P247" s="33" t="str">
        <f t="shared" si="206"/>
        <v>54,631621870174</v>
      </c>
      <c r="Q247" s="4" t="str">
        <f t="shared" si="207"/>
        <v>1+48,8288299868811i</v>
      </c>
      <c r="R247" s="4">
        <f t="shared" si="219"/>
        <v>48.839068765566559</v>
      </c>
      <c r="S247" s="4">
        <f t="shared" si="220"/>
        <v>1.5503194849507604</v>
      </c>
      <c r="T247" s="4" t="str">
        <f t="shared" si="208"/>
        <v>1+0,61256174702416i</v>
      </c>
      <c r="U247" s="4">
        <f t="shared" si="221"/>
        <v>1.172702815685752</v>
      </c>
      <c r="V247" s="4">
        <f t="shared" si="222"/>
        <v>0.5496049141156587</v>
      </c>
      <c r="W247" t="str">
        <f t="shared" si="209"/>
        <v>1-0,0487518150730798i</v>
      </c>
      <c r="X247" s="4">
        <f t="shared" si="223"/>
        <v>1.0011876644630215</v>
      </c>
      <c r="Y247" s="4">
        <f t="shared" si="224"/>
        <v>-4.8713246604059741E-2</v>
      </c>
      <c r="Z247" t="str">
        <f t="shared" si="210"/>
        <v>0,999984792424147+0,00669810508428287i</v>
      </c>
      <c r="AA247" s="4">
        <f t="shared" si="225"/>
        <v>1.0000072248195433</v>
      </c>
      <c r="AB247" s="4">
        <f t="shared" si="226"/>
        <v>6.6981067766049025E-3</v>
      </c>
      <c r="AC247" s="47" t="str">
        <f t="shared" si="227"/>
        <v>0,646488760278799-1,14320303945461i</v>
      </c>
      <c r="AD247" s="20">
        <f t="shared" si="228"/>
        <v>2.3675407915529521</v>
      </c>
      <c r="AE247" s="43">
        <f t="shared" si="229"/>
        <v>-60.511558091916967</v>
      </c>
      <c r="AF247" t="str">
        <f t="shared" si="211"/>
        <v>171,265703090588</v>
      </c>
      <c r="AG247" t="str">
        <f t="shared" si="212"/>
        <v>1+48,3615372325063i</v>
      </c>
      <c r="AH247">
        <f t="shared" si="230"/>
        <v>48.371874922222034</v>
      </c>
      <c r="AI247">
        <f t="shared" si="231"/>
        <v>1.5501216838271712</v>
      </c>
      <c r="AJ247" t="str">
        <f t="shared" si="213"/>
        <v>1+0,61256174702416i</v>
      </c>
      <c r="AK247">
        <f t="shared" si="232"/>
        <v>1.172702815685752</v>
      </c>
      <c r="AL247">
        <f t="shared" si="233"/>
        <v>0.5496049141156587</v>
      </c>
      <c r="AM247" t="str">
        <f t="shared" si="214"/>
        <v>1-0,0154023825259807i</v>
      </c>
      <c r="AN247">
        <f t="shared" si="234"/>
        <v>1.0001186096596126</v>
      </c>
      <c r="AO247">
        <f t="shared" si="235"/>
        <v>-1.5401164712858942E-2</v>
      </c>
      <c r="AP247" s="41" t="str">
        <f t="shared" si="236"/>
        <v>2,18773971163178-3,52953710120381i</v>
      </c>
      <c r="AQ247">
        <f t="shared" si="237"/>
        <v>12.366339138681292</v>
      </c>
      <c r="AR247" s="43">
        <f t="shared" si="238"/>
        <v>-58.207809974164938</v>
      </c>
      <c r="AS247" t="str">
        <f t="shared" si="215"/>
        <v>-0,0000166666666666667</v>
      </c>
      <c r="AT247" t="str">
        <f t="shared" si="216"/>
        <v>0,0000406005925927614i</v>
      </c>
      <c r="AU247">
        <f t="shared" si="239"/>
        <v>4.0600592592761399E-5</v>
      </c>
      <c r="AV247">
        <f t="shared" si="240"/>
        <v>1.5707963267948966</v>
      </c>
      <c r="AW247" t="str">
        <f t="shared" si="217"/>
        <v>1+0,0136634171213114i</v>
      </c>
      <c r="AX247">
        <f t="shared" si="241"/>
        <v>1.0000933401275258</v>
      </c>
      <c r="AY247">
        <f t="shared" si="242"/>
        <v>1.3662566946795639E-2</v>
      </c>
      <c r="AZ247" t="str">
        <f t="shared" si="218"/>
        <v>1+3,23432602428756i</v>
      </c>
      <c r="BA247">
        <f t="shared" si="243"/>
        <v>3.3853899083242651</v>
      </c>
      <c r="BB247">
        <f t="shared" si="244"/>
        <v>1.2709358102802029</v>
      </c>
      <c r="BC247" s="41" t="str">
        <f t="shared" si="245"/>
        <v>-1,32184501571037+0,428563959364623i</v>
      </c>
      <c r="BD247">
        <f t="shared" si="246"/>
        <v>2.8576907445068462</v>
      </c>
      <c r="BE247" s="43">
        <f t="shared" si="247"/>
        <v>162.03645053772874</v>
      </c>
      <c r="BF247" s="41" t="str">
        <f t="shared" si="248"/>
        <v>-0,364622324540968+1,78819902243783i</v>
      </c>
      <c r="BG247" s="20">
        <f t="shared" si="249"/>
        <v>5.2252315360597956</v>
      </c>
      <c r="BH247" s="43">
        <f t="shared" si="250"/>
        <v>101.52489244581179</v>
      </c>
      <c r="BI247" s="41" t="str">
        <f t="shared" si="255"/>
        <v>-1,37922043867587+5,60308741786722i</v>
      </c>
      <c r="BJ247" s="20">
        <f t="shared" si="251"/>
        <v>15.224029883188145</v>
      </c>
      <c r="BK247" s="43">
        <f t="shared" si="256"/>
        <v>103.82864056356379</v>
      </c>
      <c r="BL247">
        <f t="shared" si="252"/>
        <v>5.2252315360597956</v>
      </c>
      <c r="BM247" s="43">
        <f t="shared" si="253"/>
        <v>101.52489244581179</v>
      </c>
    </row>
    <row r="248" spans="14:65" x14ac:dyDescent="0.25">
      <c r="N248" s="9">
        <v>30</v>
      </c>
      <c r="O248" s="34">
        <f t="shared" si="254"/>
        <v>1995.2623149688804</v>
      </c>
      <c r="P248" s="33" t="str">
        <f t="shared" si="206"/>
        <v>54,631621870174</v>
      </c>
      <c r="Q248" s="4" t="str">
        <f t="shared" si="207"/>
        <v>1+49,9661995468438i</v>
      </c>
      <c r="R248" s="4">
        <f t="shared" si="219"/>
        <v>49.976205309677262</v>
      </c>
      <c r="S248" s="4">
        <f t="shared" si="220"/>
        <v>1.5507854689077616</v>
      </c>
      <c r="T248" s="4" t="str">
        <f t="shared" si="208"/>
        <v>1+0,62683014306908i</v>
      </c>
      <c r="U248" s="4">
        <f t="shared" si="221"/>
        <v>1.1802186357874558</v>
      </c>
      <c r="V248" s="4">
        <f t="shared" si="222"/>
        <v>0.55991429090730227</v>
      </c>
      <c r="W248" t="str">
        <f t="shared" si="209"/>
        <v>1-0,0498873907252498i</v>
      </c>
      <c r="X248" s="4">
        <f t="shared" si="223"/>
        <v>1.0012436026029699</v>
      </c>
      <c r="Y248" s="4">
        <f t="shared" si="224"/>
        <v>-4.9846066637911433E-2</v>
      </c>
      <c r="Z248" t="str">
        <f t="shared" si="210"/>
        <v>0,999984075713178+0,00685412399430676i</v>
      </c>
      <c r="AA248" s="4">
        <f t="shared" si="225"/>
        <v>1.0000075653192173</v>
      </c>
      <c r="AB248" s="4">
        <f t="shared" si="226"/>
        <v>6.8541258076461001E-3</v>
      </c>
      <c r="AC248" s="47" t="str">
        <f t="shared" si="227"/>
        <v>0,645458674507348-1,11893298329429i</v>
      </c>
      <c r="AD248" s="20">
        <f t="shared" si="228"/>
        <v>2.2235950647519691</v>
      </c>
      <c r="AE248" s="43">
        <f t="shared" si="229"/>
        <v>-60.021418265292475</v>
      </c>
      <c r="AF248" t="str">
        <f t="shared" si="211"/>
        <v>171,265703090588</v>
      </c>
      <c r="AG248" t="str">
        <f t="shared" si="212"/>
        <v>1+49,4880221459486i</v>
      </c>
      <c r="AH248">
        <f t="shared" si="230"/>
        <v>49.498124569703634</v>
      </c>
      <c r="AI248">
        <f t="shared" si="231"/>
        <v>1.5505921666046769</v>
      </c>
      <c r="AJ248" t="str">
        <f t="shared" si="213"/>
        <v>1+0,62683014306908i</v>
      </c>
      <c r="AK248">
        <f t="shared" si="232"/>
        <v>1.1802186357874558</v>
      </c>
      <c r="AL248">
        <f t="shared" si="233"/>
        <v>0.55991429090730227</v>
      </c>
      <c r="AM248" t="str">
        <f t="shared" si="214"/>
        <v>1-0,0157611501032636i</v>
      </c>
      <c r="AN248">
        <f t="shared" si="234"/>
        <v>1.0001241992135665</v>
      </c>
      <c r="AO248">
        <f t="shared" si="235"/>
        <v>-1.5759845201745379E-2</v>
      </c>
      <c r="AP248" s="41" t="str">
        <f t="shared" si="236"/>
        <v>2,18448738931329-3,45079958273334i</v>
      </c>
      <c r="AQ248">
        <f t="shared" si="237"/>
        <v>12.221961221798692</v>
      </c>
      <c r="AR248" s="43">
        <f t="shared" si="238"/>
        <v>-57.664633750285013</v>
      </c>
      <c r="AS248" t="str">
        <f t="shared" si="215"/>
        <v>-0,0000166666666666667</v>
      </c>
      <c r="AT248" t="str">
        <f t="shared" si="216"/>
        <v>0,0000415463018826186i</v>
      </c>
      <c r="AU248">
        <f t="shared" si="239"/>
        <v>4.1546301882618599E-5</v>
      </c>
      <c r="AV248">
        <f t="shared" si="240"/>
        <v>1.5707963267948966</v>
      </c>
      <c r="AW248" t="str">
        <f t="shared" si="217"/>
        <v>1+0,0139816789908468i</v>
      </c>
      <c r="AX248">
        <f t="shared" si="241"/>
        <v>1.0000977388972554</v>
      </c>
      <c r="AY248">
        <f t="shared" si="242"/>
        <v>1.3980768017248646E-2</v>
      </c>
      <c r="AZ248" t="str">
        <f t="shared" si="218"/>
        <v>1+3,30966315540474i</v>
      </c>
      <c r="BA248">
        <f t="shared" si="243"/>
        <v>3.4574369411810912</v>
      </c>
      <c r="BB248">
        <f t="shared" si="244"/>
        <v>1.27737230049719</v>
      </c>
      <c r="BC248" s="41" t="str">
        <f t="shared" si="245"/>
        <v>-1,32183338788875+0,419640299667953i</v>
      </c>
      <c r="BD248">
        <f t="shared" si="246"/>
        <v>2.840563994289492</v>
      </c>
      <c r="BE248" s="43">
        <f t="shared" si="247"/>
        <v>162.38700268366583</v>
      </c>
      <c r="BF248" s="41" t="str">
        <f t="shared" si="248"/>
        <v>-0,383639454048257+1,7499034477219i</v>
      </c>
      <c r="BG248" s="20">
        <f t="shared" si="249"/>
        <v>5.0641590590414554</v>
      </c>
      <c r="BH248" s="43">
        <f t="shared" si="250"/>
        <v>102.36558441837334</v>
      </c>
      <c r="BI248" s="41" t="str">
        <f t="shared" si="255"/>
        <v>-1,43943379562397+5,47808104604179i</v>
      </c>
      <c r="BJ248" s="20">
        <f t="shared" si="251"/>
        <v>15.062525216088185</v>
      </c>
      <c r="BK248" s="43">
        <f t="shared" si="256"/>
        <v>104.72236893338081</v>
      </c>
      <c r="BL248">
        <f t="shared" si="252"/>
        <v>5.0641590590414554</v>
      </c>
      <c r="BM248" s="43">
        <f t="shared" si="253"/>
        <v>102.36558441837334</v>
      </c>
    </row>
    <row r="249" spans="14:65" x14ac:dyDescent="0.25">
      <c r="N249" s="9">
        <v>31</v>
      </c>
      <c r="O249" s="34">
        <f t="shared" si="254"/>
        <v>2041.7379446695318</v>
      </c>
      <c r="P249" s="33" t="str">
        <f t="shared" si="206"/>
        <v>54,631621870174</v>
      </c>
      <c r="Q249" s="4" t="str">
        <f t="shared" si="207"/>
        <v>1+51,1300618471869i</v>
      </c>
      <c r="R249" s="4">
        <f t="shared" si="219"/>
        <v>51.13983989510681</v>
      </c>
      <c r="S249" s="4">
        <f t="shared" si="220"/>
        <v>1.5512408541735536</v>
      </c>
      <c r="T249" s="4" t="str">
        <f t="shared" si="208"/>
        <v>1+0,64143089275293i</v>
      </c>
      <c r="U249" s="4">
        <f t="shared" si="221"/>
        <v>1.1880377057054294</v>
      </c>
      <c r="V249" s="4">
        <f t="shared" si="222"/>
        <v>0.57032763722819724</v>
      </c>
      <c r="W249" t="str">
        <f t="shared" si="209"/>
        <v>1-0,0510494173323199i</v>
      </c>
      <c r="X249" s="4">
        <f t="shared" si="223"/>
        <v>1.0013021736768424</v>
      </c>
      <c r="Y249" s="4">
        <f t="shared" si="224"/>
        <v>-5.100514088445695E-2</v>
      </c>
      <c r="Z249" t="str">
        <f t="shared" si="210"/>
        <v>0,999983325224661+0,00701377705159746i</v>
      </c>
      <c r="AA249" s="4">
        <f t="shared" si="225"/>
        <v>1.0000079218665718</v>
      </c>
      <c r="AB249" s="4">
        <f t="shared" si="226"/>
        <v>7.0137789946071866E-3</v>
      </c>
      <c r="AC249" s="47" t="str">
        <f t="shared" si="227"/>
        <v>0,644473861740532-1,09525436051286i</v>
      </c>
      <c r="AD249" s="20">
        <f t="shared" si="228"/>
        <v>2.0815334540298953</v>
      </c>
      <c r="AE249" s="43">
        <f t="shared" si="229"/>
        <v>-59.526426640547491</v>
      </c>
      <c r="AF249" t="str">
        <f t="shared" si="211"/>
        <v>171,265703090588</v>
      </c>
      <c r="AG249" t="str">
        <f t="shared" si="212"/>
        <v>1+50,6407462637838i</v>
      </c>
      <c r="AH249">
        <f t="shared" si="230"/>
        <v>50.650618773643153</v>
      </c>
      <c r="AI249">
        <f t="shared" si="231"/>
        <v>1.5510519485309973</v>
      </c>
      <c r="AJ249" t="str">
        <f t="shared" si="213"/>
        <v>1+0,64143089275293i</v>
      </c>
      <c r="AK249">
        <f t="shared" si="232"/>
        <v>1.1880377057054294</v>
      </c>
      <c r="AL249">
        <f t="shared" si="233"/>
        <v>0.57032763722819724</v>
      </c>
      <c r="AM249" t="str">
        <f t="shared" si="214"/>
        <v>1-0,0161282744509546i</v>
      </c>
      <c r="AN249">
        <f t="shared" si="234"/>
        <v>1.0001300521616003</v>
      </c>
      <c r="AO249">
        <f t="shared" si="235"/>
        <v>-1.6126876233606039E-2</v>
      </c>
      <c r="AP249" s="41" t="str">
        <f t="shared" si="236"/>
        <v>2,18138132880897-3,37388580889759i</v>
      </c>
      <c r="AQ249">
        <f t="shared" si="237"/>
        <v>12.079446963540271</v>
      </c>
      <c r="AR249" s="43">
        <f t="shared" si="238"/>
        <v>-57.115365848440312</v>
      </c>
      <c r="AS249" t="str">
        <f t="shared" si="215"/>
        <v>-0,0000166666666666667</v>
      </c>
      <c r="AT249" t="str">
        <f t="shared" si="216"/>
        <v>0,0000425140395716644i</v>
      </c>
      <c r="AU249">
        <f t="shared" si="239"/>
        <v>4.2514039571664399E-5</v>
      </c>
      <c r="AV249">
        <f t="shared" si="240"/>
        <v>1.5707963267948966</v>
      </c>
      <c r="AW249" t="str">
        <f t="shared" si="217"/>
        <v>1+0,0143073541316526i</v>
      </c>
      <c r="AX249">
        <f t="shared" si="241"/>
        <v>1.0001023449538795</v>
      </c>
      <c r="AY249">
        <f t="shared" si="242"/>
        <v>1.4306378011250556E-2</v>
      </c>
      <c r="AZ249" t="str">
        <f t="shared" si="218"/>
        <v>1+3,38675511373547i</v>
      </c>
      <c r="BA249">
        <f t="shared" si="243"/>
        <v>3.5313043199947183</v>
      </c>
      <c r="BB249">
        <f t="shared" si="244"/>
        <v>1.2836865617987152</v>
      </c>
      <c r="BC249" s="41" t="str">
        <f t="shared" si="245"/>
        <v>-1,32182121228404+0,410939123487851i</v>
      </c>
      <c r="BD249">
        <f t="shared" si="246"/>
        <v>2.8241415462832626</v>
      </c>
      <c r="BE249" s="43">
        <f t="shared" si="247"/>
        <v>162.73012712856251</v>
      </c>
      <c r="BF249" s="41" t="str">
        <f t="shared" si="248"/>
        <v>-0,401796354305845+1,71256997042697i</v>
      </c>
      <c r="BG249" s="20">
        <f t="shared" si="249"/>
        <v>4.9056750003131349</v>
      </c>
      <c r="BH249" s="43">
        <f t="shared" si="250"/>
        <v>103.20370048801504</v>
      </c>
      <c r="BI249" s="41" t="str">
        <f t="shared" si="255"/>
        <v>-1,49693443544357+5,35608876127845i</v>
      </c>
      <c r="BJ249" s="20">
        <f t="shared" si="251"/>
        <v>14.903588509823527</v>
      </c>
      <c r="BK249" s="43">
        <f t="shared" si="256"/>
        <v>105.61476128012224</v>
      </c>
      <c r="BL249">
        <f t="shared" si="252"/>
        <v>4.9056750003131349</v>
      </c>
      <c r="BM249" s="43">
        <f t="shared" si="253"/>
        <v>103.20370048801504</v>
      </c>
    </row>
    <row r="250" spans="14:65" x14ac:dyDescent="0.25">
      <c r="N250" s="9">
        <v>32</v>
      </c>
      <c r="O250" s="34">
        <f t="shared" si="254"/>
        <v>2089.2961308540398</v>
      </c>
      <c r="P250" s="33" t="str">
        <f t="shared" si="206"/>
        <v>54,631621870174</v>
      </c>
      <c r="Q250" s="4" t="str">
        <f t="shared" si="207"/>
        <v>1+52,3210339831082i</v>
      </c>
      <c r="R250" s="4">
        <f t="shared" si="219"/>
        <v>52.330589496599053</v>
      </c>
      <c r="S250" s="4">
        <f t="shared" si="220"/>
        <v>1.5516858814435124</v>
      </c>
      <c r="T250" s="4" t="str">
        <f t="shared" si="208"/>
        <v>1+0,656371737586465i</v>
      </c>
      <c r="U250" s="4">
        <f t="shared" si="221"/>
        <v>1.1961704970037823</v>
      </c>
      <c r="V250" s="4">
        <f t="shared" si="222"/>
        <v>0.58084144048062492</v>
      </c>
      <c r="W250" t="str">
        <f t="shared" si="209"/>
        <v>1-0,0522385110161789i</v>
      </c>
      <c r="X250" s="4">
        <f t="shared" si="223"/>
        <v>1.0013635014484936</v>
      </c>
      <c r="Y250" s="4">
        <f t="shared" si="224"/>
        <v>-5.2191071435836255E-2</v>
      </c>
      <c r="Z250" t="str">
        <f t="shared" si="210"/>
        <v>0,99998253936671+0,00717714890631929i</v>
      </c>
      <c r="AA250" s="4">
        <f t="shared" si="225"/>
        <v>1.0000082952179534</v>
      </c>
      <c r="AB250" s="4">
        <f t="shared" si="226"/>
        <v>7.1771509882710945E-3</v>
      </c>
      <c r="AC250" s="47" t="str">
        <f t="shared" si="227"/>
        <v>0,643532237907933-1,07215473842925i</v>
      </c>
      <c r="AD250" s="20">
        <f t="shared" si="228"/>
        <v>1.9413941707934368</v>
      </c>
      <c r="AE250" s="43">
        <f t="shared" si="229"/>
        <v>-59.026837613006627</v>
      </c>
      <c r="AF250" t="str">
        <f t="shared" si="211"/>
        <v>171,265703090588</v>
      </c>
      <c r="AG250" t="str">
        <f t="shared" si="212"/>
        <v>1+51,820320775598i</v>
      </c>
      <c r="AH250">
        <f t="shared" si="230"/>
        <v>51.829968602015121</v>
      </c>
      <c r="AI250">
        <f t="shared" si="231"/>
        <v>1.5515012726105686</v>
      </c>
      <c r="AJ250" t="str">
        <f t="shared" si="213"/>
        <v>1+0,656371737586465i</v>
      </c>
      <c r="AK250">
        <f t="shared" si="232"/>
        <v>1.1961704970037823</v>
      </c>
      <c r="AL250">
        <f t="shared" si="233"/>
        <v>0.58084144048062492</v>
      </c>
      <c r="AM250" t="str">
        <f t="shared" si="214"/>
        <v>1-0,0165039502232427i</v>
      </c>
      <c r="AN250">
        <f t="shared" si="234"/>
        <v>1.0001361809138649</v>
      </c>
      <c r="AO250">
        <f t="shared" si="235"/>
        <v>-1.6502452017378433E-2</v>
      </c>
      <c r="AP250" s="41" t="str">
        <f t="shared" si="236"/>
        <v>2,17841495752433-3,29875539349062i</v>
      </c>
      <c r="AQ250">
        <f t="shared" si="237"/>
        <v>11.938833623304244</v>
      </c>
      <c r="AR250" s="43">
        <f t="shared" si="238"/>
        <v>-56.56023257613586</v>
      </c>
      <c r="AS250" t="str">
        <f t="shared" si="215"/>
        <v>-0,0000166666666666667</v>
      </c>
      <c r="AT250" t="str">
        <f t="shared" si="216"/>
        <v>0,0000435043187672308i</v>
      </c>
      <c r="AU250">
        <f t="shared" si="239"/>
        <v>4.3504318767230801E-5</v>
      </c>
      <c r="AV250">
        <f t="shared" si="240"/>
        <v>1.5707963267948966</v>
      </c>
      <c r="AW250" t="str">
        <f t="shared" si="217"/>
        <v>1+0,0146406152209992i</v>
      </c>
      <c r="AX250">
        <f t="shared" si="241"/>
        <v>1.0001071680645277</v>
      </c>
      <c r="AY250">
        <f t="shared" si="242"/>
        <v>1.4639569295197314E-2</v>
      </c>
      <c r="AZ250" t="str">
        <f t="shared" si="218"/>
        <v>1+3,46564277445653i</v>
      </c>
      <c r="BA250">
        <f t="shared" si="243"/>
        <v>3.6070319987688988</v>
      </c>
      <c r="BB250">
        <f t="shared" si="244"/>
        <v>1.2898799273429147</v>
      </c>
      <c r="BC250" s="41" t="str">
        <f t="shared" si="245"/>
        <v>-1,32180846310117+0,402455816249961i</v>
      </c>
      <c r="BD250">
        <f t="shared" si="246"/>
        <v>2.8083966445260726</v>
      </c>
      <c r="BE250" s="43">
        <f t="shared" si="247"/>
        <v>163.06589038088623</v>
      </c>
      <c r="BF250" s="41" t="str">
        <f t="shared" si="248"/>
        <v>-0,419131447944334+1,67617649910021i</v>
      </c>
      <c r="BG250" s="20">
        <f t="shared" si="249"/>
        <v>4.7497908153195318</v>
      </c>
      <c r="BH250" s="43">
        <f t="shared" si="250"/>
        <v>104.03905276787954</v>
      </c>
      <c r="BI250" s="41" t="str">
        <f t="shared" si="255"/>
        <v>-1,55184403250561+5,23703856667811i</v>
      </c>
      <c r="BJ250" s="20">
        <f t="shared" si="251"/>
        <v>14.747230267830314</v>
      </c>
      <c r="BK250" s="43">
        <f t="shared" si="256"/>
        <v>106.5056578047504</v>
      </c>
      <c r="BL250">
        <f t="shared" si="252"/>
        <v>4.7497908153195318</v>
      </c>
      <c r="BM250" s="43">
        <f t="shared" si="253"/>
        <v>104.03905276787954</v>
      </c>
    </row>
    <row r="251" spans="14:65" x14ac:dyDescent="0.25">
      <c r="N251" s="9">
        <v>33</v>
      </c>
      <c r="O251" s="34">
        <f t="shared" si="254"/>
        <v>2137.9620895022344</v>
      </c>
      <c r="P251" s="33" t="str">
        <f t="shared" si="206"/>
        <v>54,631621870174</v>
      </c>
      <c r="Q251" s="4" t="str">
        <f t="shared" si="207"/>
        <v>1+53,5397474237977i</v>
      </c>
      <c r="R251" s="4">
        <f t="shared" si="219"/>
        <v>53.549085465617921</v>
      </c>
      <c r="S251" s="4">
        <f t="shared" si="220"/>
        <v>1.5521207859714838</v>
      </c>
      <c r="T251" s="4" t="str">
        <f t="shared" si="208"/>
        <v>1+0,67166059940337i</v>
      </c>
      <c r="U251" s="4">
        <f t="shared" si="221"/>
        <v>1.2046277270554975</v>
      </c>
      <c r="V251" s="4">
        <f t="shared" si="222"/>
        <v>0.59145197744960976</v>
      </c>
      <c r="W251" t="str">
        <f t="shared" si="209"/>
        <v>1-0,0534553022500367i</v>
      </c>
      <c r="X251" s="4">
        <f t="shared" si="223"/>
        <v>1.0014277154835705</v>
      </c>
      <c r="Y251" s="4">
        <f t="shared" si="224"/>
        <v>-5.3404473737114114E-2</v>
      </c>
      <c r="Z251" t="str">
        <f t="shared" si="210"/>
        <v>0,999981716472415+0,00734432618039199i</v>
      </c>
      <c r="AA251" s="4">
        <f t="shared" si="225"/>
        <v>1.0000086861653559</v>
      </c>
      <c r="AB251" s="4">
        <f t="shared" si="226"/>
        <v>7.3443284112203961E-3</v>
      </c>
      <c r="AC251" s="47" t="str">
        <f t="shared" si="227"/>
        <v>0,642631810122678-1,0496219831735i</v>
      </c>
      <c r="AD251" s="20">
        <f t="shared" si="228"/>
        <v>1.8032145036218394</v>
      </c>
      <c r="AE251" s="43">
        <f t="shared" si="229"/>
        <v>-58.522918211739508</v>
      </c>
      <c r="AF251" t="str">
        <f t="shared" si="211"/>
        <v>171,265703090588</v>
      </c>
      <c r="AG251" t="str">
        <f t="shared" si="212"/>
        <v>1+53,0273711074101i</v>
      </c>
      <c r="AH251">
        <f t="shared" si="230"/>
        <v>53.036799361980655</v>
      </c>
      <c r="AI251">
        <f t="shared" si="231"/>
        <v>1.5519403763548294</v>
      </c>
      <c r="AJ251" t="str">
        <f t="shared" si="213"/>
        <v>1+0,67166059940337i</v>
      </c>
      <c r="AK251">
        <f t="shared" si="232"/>
        <v>1.2046277270554975</v>
      </c>
      <c r="AL251">
        <f t="shared" si="233"/>
        <v>0.59145197744960976</v>
      </c>
      <c r="AM251" t="str">
        <f t="shared" si="214"/>
        <v>1-0,0168883766083946i</v>
      </c>
      <c r="AN251">
        <f t="shared" si="234"/>
        <v>1.0001425984650723</v>
      </c>
      <c r="AO251">
        <f t="shared" si="235"/>
        <v>-1.6886771264249586E-2</v>
      </c>
      <c r="AP251" s="41" t="str">
        <f t="shared" si="236"/>
        <v>2,17558199777731-3,22536886956907i</v>
      </c>
      <c r="AQ251">
        <f t="shared" si="237"/>
        <v>11.800157493030767</v>
      </c>
      <c r="AR251" s="43">
        <f t="shared" si="238"/>
        <v>-55.999472251591179</v>
      </c>
      <c r="AS251" t="str">
        <f t="shared" si="215"/>
        <v>-0,0000166666666666667</v>
      </c>
      <c r="AT251" t="str">
        <f t="shared" si="216"/>
        <v>0,0000445176645284554i</v>
      </c>
      <c r="AU251">
        <f t="shared" si="239"/>
        <v>4.4517664528455403E-5</v>
      </c>
      <c r="AV251">
        <f t="shared" si="240"/>
        <v>1.5707963267948966</v>
      </c>
      <c r="AW251" t="str">
        <f t="shared" si="217"/>
        <v>1+0,0149816389583274i</v>
      </c>
      <c r="AX251">
        <f t="shared" si="241"/>
        <v>1.0001122184564479</v>
      </c>
      <c r="AY251">
        <f t="shared" si="242"/>
        <v>1.4980518235430472E-2</v>
      </c>
      <c r="AZ251" t="str">
        <f t="shared" si="218"/>
        <v>1+3,54636796484979i</v>
      </c>
      <c r="BA251">
        <f t="shared" si="243"/>
        <v>3.6846608720631049</v>
      </c>
      <c r="BB251">
        <f t="shared" si="244"/>
        <v>1.2959537796972254</v>
      </c>
      <c r="BC251" s="41" t="str">
        <f t="shared" si="245"/>
        <v>-1,3217951133314+0,394185878818622i</v>
      </c>
      <c r="BD251">
        <f t="shared" si="246"/>
        <v>2.7933033319099381</v>
      </c>
      <c r="BE251" s="43">
        <f t="shared" si="247"/>
        <v>163.39436155086901</v>
      </c>
      <c r="BF251" s="41" t="str">
        <f t="shared" si="248"/>
        <v>-0,435681422426877+1,64070159303396i</v>
      </c>
      <c r="BG251" s="20">
        <f t="shared" si="249"/>
        <v>4.5965178355318006</v>
      </c>
      <c r="BH251" s="43">
        <f t="shared" si="250"/>
        <v>104.87144333912944</v>
      </c>
      <c r="BI251" s="41" t="str">
        <f t="shared" si="255"/>
        <v>-1,6042787909485+5,12086051222344i</v>
      </c>
      <c r="BJ251" s="20">
        <f t="shared" si="251"/>
        <v>14.593460824940703</v>
      </c>
      <c r="BK251" s="43">
        <f t="shared" si="256"/>
        <v>107.39488929927776</v>
      </c>
      <c r="BL251">
        <f t="shared" si="252"/>
        <v>4.5965178355318006</v>
      </c>
      <c r="BM251" s="43">
        <f t="shared" si="253"/>
        <v>104.87144333912944</v>
      </c>
    </row>
    <row r="252" spans="14:65" x14ac:dyDescent="0.25">
      <c r="N252" s="9">
        <v>34</v>
      </c>
      <c r="O252" s="34">
        <f t="shared" si="254"/>
        <v>2187.7616239495528</v>
      </c>
      <c r="P252" s="33" t="str">
        <f t="shared" si="206"/>
        <v>54,631621870174</v>
      </c>
      <c r="Q252" s="4" t="str">
        <f t="shared" si="207"/>
        <v>1+54,7868483472538i</v>
      </c>
      <c r="R252" s="4">
        <f t="shared" si="219"/>
        <v>54.795973865102411</v>
      </c>
      <c r="S252" s="4">
        <f t="shared" si="220"/>
        <v>1.5525457976911583</v>
      </c>
      <c r="T252" s="4" t="str">
        <f t="shared" si="208"/>
        <v>1+0,68730558456056i</v>
      </c>
      <c r="U252" s="4">
        <f t="shared" si="221"/>
        <v>1.2134203585601047</v>
      </c>
      <c r="V252" s="4">
        <f t="shared" si="222"/>
        <v>0.60215531730246152</v>
      </c>
      <c r="W252" t="str">
        <f t="shared" si="209"/>
        <v>1-0,0547004361927122i</v>
      </c>
      <c r="X252" s="4">
        <f t="shared" si="223"/>
        <v>1.0014949514199625</v>
      </c>
      <c r="Y252" s="4">
        <f t="shared" si="224"/>
        <v>-5.4645976849770898E-2</v>
      </c>
      <c r="Z252" t="str">
        <f t="shared" si="210"/>
        <v>0,999980854796307+0,0075153975134192i</v>
      </c>
      <c r="AA252" s="4">
        <f t="shared" si="225"/>
        <v>1.0000090955381042</v>
      </c>
      <c r="AB252" s="4">
        <f t="shared" si="226"/>
        <v>7.5153999037689302E-3</v>
      </c>
      <c r="AC252" s="47" t="str">
        <f t="shared" si="227"/>
        <v>0,641770672491739-1,02764425379489i</v>
      </c>
      <c r="AD252" s="20">
        <f t="shared" si="228"/>
        <v>1.6670307062513399</v>
      </c>
      <c r="AE252" s="43">
        <f t="shared" si="229"/>
        <v>-58.014947952383523</v>
      </c>
      <c r="AF252" t="str">
        <f t="shared" si="211"/>
        <v>171,265703090588</v>
      </c>
      <c r="AG252" t="str">
        <f t="shared" si="212"/>
        <v>1+54,2625372532837i</v>
      </c>
      <c r="AH252">
        <f t="shared" si="230"/>
        <v>54.27175093143763</v>
      </c>
      <c r="AI252">
        <f t="shared" si="231"/>
        <v>1.5523694919046922</v>
      </c>
      <c r="AJ252" t="str">
        <f t="shared" si="213"/>
        <v>1+0,68730558456056i</v>
      </c>
      <c r="AK252">
        <f t="shared" si="232"/>
        <v>1.2134203585601047</v>
      </c>
      <c r="AL252">
        <f t="shared" si="233"/>
        <v>0.60215531730246152</v>
      </c>
      <c r="AM252" t="str">
        <f t="shared" si="214"/>
        <v>1-0,0172817574343684i</v>
      </c>
      <c r="AN252">
        <f t="shared" si="234"/>
        <v>1.0001493184220145</v>
      </c>
      <c r="AO252">
        <f t="shared" si="235"/>
        <v>-1.7280037290995344E-2</v>
      </c>
      <c r="AP252" s="41" t="str">
        <f t="shared" si="236"/>
        <v>2,1728764536044-3,1536876702778i</v>
      </c>
      <c r="AQ252">
        <f t="shared" si="237"/>
        <v>11.663453783147141</v>
      </c>
      <c r="AR252" s="43">
        <f t="shared" si="238"/>
        <v>-55.433335044817674</v>
      </c>
      <c r="AS252" t="str">
        <f t="shared" si="215"/>
        <v>-0,0000166666666666667</v>
      </c>
      <c r="AT252" t="str">
        <f t="shared" si="216"/>
        <v>0,0000455546141446739i</v>
      </c>
      <c r="AU252">
        <f t="shared" si="239"/>
        <v>4.5554614144673902E-5</v>
      </c>
      <c r="AV252">
        <f t="shared" si="240"/>
        <v>1.5707963267948966</v>
      </c>
      <c r="AW252" t="str">
        <f t="shared" si="217"/>
        <v>1+0,0153306061589368i</v>
      </c>
      <c r="AX252">
        <f t="shared" si="241"/>
        <v>1.0001175068386716</v>
      </c>
      <c r="AY252">
        <f t="shared" si="242"/>
        <v>1.5329405290337149E-2</v>
      </c>
      <c r="AZ252" t="str">
        <f t="shared" si="218"/>
        <v>1+3,62897348647975i</v>
      </c>
      <c r="BA252">
        <f t="shared" si="243"/>
        <v>3.7642327990671611</v>
      </c>
      <c r="BB252">
        <f t="shared" si="244"/>
        <v>1.3019095460025578</v>
      </c>
      <c r="BC252" s="41" t="str">
        <f t="shared" si="245"/>
        <v>-1,32178113469539+0,386124925105781i</v>
      </c>
      <c r="BD252">
        <f t="shared" si="246"/>
        <v>2.7788364427957903</v>
      </c>
      <c r="BE252" s="43">
        <f t="shared" si="247"/>
        <v>163.71561206815787</v>
      </c>
      <c r="BF252" s="41" t="str">
        <f t="shared" si="248"/>
        <v>-0,451481307168416+1,60612444069517i</v>
      </c>
      <c r="BG252" s="20">
        <f t="shared" si="249"/>
        <v>4.445867149047146</v>
      </c>
      <c r="BH252" s="43">
        <f t="shared" si="250"/>
        <v>105.7006641157743</v>
      </c>
      <c r="BI252" s="41" t="str">
        <f t="shared" si="255"/>
        <v>-1,65434968890508+5,00748662520677i</v>
      </c>
      <c r="BJ252" s="20">
        <f t="shared" si="251"/>
        <v>14.442290225942937</v>
      </c>
      <c r="BK252" s="43">
        <f t="shared" si="256"/>
        <v>108.28227702334019</v>
      </c>
      <c r="BL252">
        <f t="shared" si="252"/>
        <v>4.445867149047146</v>
      </c>
      <c r="BM252" s="43">
        <f t="shared" si="253"/>
        <v>105.7006641157743</v>
      </c>
    </row>
    <row r="253" spans="14:65" x14ac:dyDescent="0.25">
      <c r="N253" s="9">
        <v>35</v>
      </c>
      <c r="O253" s="34">
        <f t="shared" si="254"/>
        <v>2238.7211385683418</v>
      </c>
      <c r="P253" s="33" t="str">
        <f t="shared" si="206"/>
        <v>54,631621870174</v>
      </c>
      <c r="Q253" s="4" t="str">
        <f t="shared" si="207"/>
        <v>1+56,0629979828934i</v>
      </c>
      <c r="R253" s="4">
        <f t="shared" si="219"/>
        <v>56.071915812016883</v>
      </c>
      <c r="S253" s="4">
        <f t="shared" si="220"/>
        <v>1.5529611413348474</v>
      </c>
      <c r="T253" s="4" t="str">
        <f t="shared" si="208"/>
        <v>1+0,70331498823625i</v>
      </c>
      <c r="U253" s="4">
        <f t="shared" si="221"/>
        <v>1.2225595988244322</v>
      </c>
      <c r="V253" s="4">
        <f t="shared" si="222"/>
        <v>0.61294732555257636</v>
      </c>
      <c r="W253" t="str">
        <f t="shared" si="209"/>
        <v>1-0,0559745730307031i</v>
      </c>
      <c r="X253" s="4">
        <f t="shared" si="223"/>
        <v>1.0015653512507157</v>
      </c>
      <c r="Y253" s="4">
        <f t="shared" si="224"/>
        <v>-5.5916223717985755E-2</v>
      </c>
      <c r="Z253" t="str">
        <f t="shared" si="210"/>
        <v>0,999979952510655+0,00769045360968609i</v>
      </c>
      <c r="AA253" s="4">
        <f t="shared" si="225"/>
        <v>1.0000095242046119</v>
      </c>
      <c r="AB253" s="4">
        <f t="shared" si="226"/>
        <v>7.6904561709628316E-3</v>
      </c>
      <c r="AC253" s="47" t="str">
        <f t="shared" si="227"/>
        <v>0,640947002107474-1,00620999648911i</v>
      </c>
      <c r="AD253" s="20">
        <f t="shared" si="228"/>
        <v>1.5328778856649024</v>
      </c>
      <c r="AE253" s="43">
        <f t="shared" si="229"/>
        <v>-57.503218634788652</v>
      </c>
      <c r="AF253" t="str">
        <f t="shared" si="211"/>
        <v>171,265703090588</v>
      </c>
      <c r="AG253" t="str">
        <f t="shared" si="212"/>
        <v>1+55,5264741146587i</v>
      </c>
      <c r="AH253">
        <f t="shared" si="230"/>
        <v>55.535478098291932</v>
      </c>
      <c r="AI253">
        <f t="shared" si="231"/>
        <v>1.5527888461504</v>
      </c>
      <c r="AJ253" t="str">
        <f t="shared" si="213"/>
        <v>1+0,70331498823625i</v>
      </c>
      <c r="AK253">
        <f t="shared" si="232"/>
        <v>1.2225595988244322</v>
      </c>
      <c r="AL253">
        <f t="shared" si="233"/>
        <v>0.61294732555257636</v>
      </c>
      <c r="AM253" t="str">
        <f t="shared" si="214"/>
        <v>1-0,0176843012768851i</v>
      </c>
      <c r="AN253">
        <f t="shared" si="234"/>
        <v>1.0001563550323778</v>
      </c>
      <c r="AO253">
        <f t="shared" si="235"/>
        <v>-1.7682458125615041E-2</v>
      </c>
      <c r="AP253" s="41" t="str">
        <f t="shared" si="236"/>
        <v>2,17029259815366-3,0836741100364i</v>
      </c>
      <c r="AQ253">
        <f t="shared" si="237"/>
        <v>11.52875650852673</v>
      </c>
      <c r="AR253" s="43">
        <f t="shared" si="238"/>
        <v>-54.862082763427622</v>
      </c>
      <c r="AS253" t="str">
        <f t="shared" si="215"/>
        <v>-0,0000166666666666667</v>
      </c>
      <c r="AT253" t="str">
        <f t="shared" si="216"/>
        <v>0,0000466157174202985i</v>
      </c>
      <c r="AU253">
        <f t="shared" si="239"/>
        <v>4.6615717420298502E-5</v>
      </c>
      <c r="AV253">
        <f t="shared" si="240"/>
        <v>1.5707963267948966</v>
      </c>
      <c r="AW253" t="str">
        <f t="shared" si="217"/>
        <v>1+0,0156877018498562i</v>
      </c>
      <c r="AX253">
        <f t="shared" si="241"/>
        <v>1.0001230444246998</v>
      </c>
      <c r="AY253">
        <f t="shared" si="242"/>
        <v>1.5686415104518531E-2</v>
      </c>
      <c r="AZ253" t="str">
        <f t="shared" si="218"/>
        <v>1+3,7135031378874i</v>
      </c>
      <c r="BA253">
        <f t="shared" si="243"/>
        <v>3.845790628089309</v>
      </c>
      <c r="BB253">
        <f t="shared" si="244"/>
        <v>1.3077486933509126</v>
      </c>
      <c r="BC253" s="41" t="str">
        <f t="shared" si="245"/>
        <v>-1,32176649758345+0,378268679739427i</v>
      </c>
      <c r="BD253">
        <f t="shared" si="246"/>
        <v>2.7649715940750115</v>
      </c>
      <c r="BE253" s="43">
        <f t="shared" si="247"/>
        <v>164.02971541157623</v>
      </c>
      <c r="BF253" s="41" t="str">
        <f t="shared" si="248"/>
        <v>-0,466564547199659+1,572424839163i</v>
      </c>
      <c r="BG253" s="20">
        <f t="shared" si="249"/>
        <v>4.2978494797398898</v>
      </c>
      <c r="BH253" s="43">
        <f t="shared" si="250"/>
        <v>106.52649677678764</v>
      </c>
      <c r="BI253" s="41" t="str">
        <f t="shared" si="255"/>
        <v>-1,70216271184273+4,89685084386341i</v>
      </c>
      <c r="BJ253" s="20">
        <f t="shared" si="251"/>
        <v>14.293728102601742</v>
      </c>
      <c r="BK253" s="43">
        <f t="shared" si="256"/>
        <v>109.16763264814865</v>
      </c>
      <c r="BL253">
        <f t="shared" si="252"/>
        <v>4.2978494797398898</v>
      </c>
      <c r="BM253" s="43">
        <f t="shared" si="253"/>
        <v>106.52649677678764</v>
      </c>
    </row>
    <row r="254" spans="14:65" x14ac:dyDescent="0.25">
      <c r="N254" s="9">
        <v>36</v>
      </c>
      <c r="O254" s="34">
        <f t="shared" si="254"/>
        <v>2290.8676527677749</v>
      </c>
      <c r="P254" s="33" t="str">
        <f t="shared" si="206"/>
        <v>54,631621870174</v>
      </c>
      <c r="Q254" s="4" t="str">
        <f t="shared" si="207"/>
        <v>1+57,3688729621448i</v>
      </c>
      <c r="R254" s="4">
        <f t="shared" si="219"/>
        <v>57.377587827885449</v>
      </c>
      <c r="S254" s="4">
        <f t="shared" si="220"/>
        <v>1.553367036549711</v>
      </c>
      <c r="T254" s="4" t="str">
        <f t="shared" si="208"/>
        <v>1+0,719697298828175i</v>
      </c>
      <c r="U254" s="4">
        <f t="shared" si="221"/>
        <v>1.2320568988243081</v>
      </c>
      <c r="V254" s="4">
        <f t="shared" si="222"/>
        <v>0.62382366900512731</v>
      </c>
      <c r="W254" t="str">
        <f t="shared" si="209"/>
        <v>1-0,0572783883282257i</v>
      </c>
      <c r="X254" s="4">
        <f t="shared" si="223"/>
        <v>1.0016390636199644</v>
      </c>
      <c r="Y254" s="4">
        <f t="shared" si="224"/>
        <v>-5.7215871437551982E-2</v>
      </c>
      <c r="Z254" t="str">
        <f t="shared" si="210"/>
        <v>0,99997900770159+0,007869587286252i</v>
      </c>
      <c r="AA254" s="4">
        <f t="shared" si="225"/>
        <v>1.0000099730742251</v>
      </c>
      <c r="AB254" s="4">
        <f t="shared" si="226"/>
        <v>7.8695900306767815E-3</v>
      </c>
      <c r="AC254" s="47" t="str">
        <f t="shared" si="227"/>
        <v>0,640159055212189-0,985307938943804i</v>
      </c>
      <c r="AD254" s="20">
        <f t="shared" si="228"/>
        <v>1.4007898909966996</v>
      </c>
      <c r="AE254" s="43">
        <f t="shared" si="229"/>
        <v>-56.988034084473313</v>
      </c>
      <c r="AF254" t="str">
        <f t="shared" si="211"/>
        <v>171,265703090588</v>
      </c>
      <c r="AG254" t="str">
        <f t="shared" si="212"/>
        <v>1+56,8198518475889i</v>
      </c>
      <c r="AH254">
        <f t="shared" si="230"/>
        <v>56.828650907635954</v>
      </c>
      <c r="AI254">
        <f t="shared" si="231"/>
        <v>1.5531986608488118</v>
      </c>
      <c r="AJ254" t="str">
        <f t="shared" si="213"/>
        <v>1+0,719697298828175i</v>
      </c>
      <c r="AK254">
        <f t="shared" si="232"/>
        <v>1.2320568988243081</v>
      </c>
      <c r="AL254">
        <f t="shared" si="233"/>
        <v>0.62382366900512731</v>
      </c>
      <c r="AM254" t="str">
        <f t="shared" si="214"/>
        <v>1-0,0180962215700181i</v>
      </c>
      <c r="AN254">
        <f t="shared" si="234"/>
        <v>1.0001637232149101</v>
      </c>
      <c r="AO254">
        <f t="shared" si="235"/>
        <v>-1.809424661531019E-2</v>
      </c>
      <c r="AP254" s="41" t="str">
        <f t="shared" si="236"/>
        <v>2,1678249616387-3,01529136608417i</v>
      </c>
      <c r="AQ254">
        <f t="shared" si="237"/>
        <v>11.396098375166847</v>
      </c>
      <c r="AR254" s="43">
        <f t="shared" si="238"/>
        <v>-54.285988582174625</v>
      </c>
      <c r="AS254" t="str">
        <f t="shared" si="215"/>
        <v>-0,0000166666666666667</v>
      </c>
      <c r="AT254" t="str">
        <f t="shared" si="216"/>
        <v>0,0000477015369663313i</v>
      </c>
      <c r="AU254">
        <f t="shared" si="239"/>
        <v>4.7701536966331299E-5</v>
      </c>
      <c r="AV254">
        <f t="shared" si="240"/>
        <v>1.5707963267948966</v>
      </c>
      <c r="AW254" t="str">
        <f t="shared" si="217"/>
        <v>1+0,0160531153679477i</v>
      </c>
      <c r="AX254">
        <f t="shared" si="241"/>
        <v>1.0001288429562547</v>
      </c>
      <c r="AY254">
        <f t="shared" si="242"/>
        <v>1.6051736605070463E-2</v>
      </c>
      <c r="AZ254" t="str">
        <f t="shared" si="218"/>
        <v>1+3,80000173781276i</v>
      </c>
      <c r="BA254">
        <f t="shared" si="243"/>
        <v>3.9293782214721955</v>
      </c>
      <c r="BB254">
        <f t="shared" si="244"/>
        <v>1.3134727243763997</v>
      </c>
      <c r="BC254" s="41" t="str">
        <f t="shared" si="245"/>
        <v>-1,32175117099312+0,370612975790324i</v>
      </c>
      <c r="BD254">
        <f t="shared" si="246"/>
        <v>2.7516851748404374</v>
      </c>
      <c r="BE254" s="43">
        <f t="shared" si="247"/>
        <v>164.33674685099163</v>
      </c>
      <c r="BF254" s="41" t="str">
        <f t="shared" si="248"/>
        <v>-0,480963073526766+1,5395831745191i</v>
      </c>
      <c r="BG254" s="20">
        <f t="shared" si="249"/>
        <v>4.1524750658371259</v>
      </c>
      <c r="BH254" s="43">
        <f t="shared" si="250"/>
        <v>107.34871276651835</v>
      </c>
      <c r="BI254" s="41" t="str">
        <f t="shared" si="255"/>
        <v>-1,74781907549474+4,78888895403266i</v>
      </c>
      <c r="BJ254" s="20">
        <f t="shared" si="251"/>
        <v>14.147783550007285</v>
      </c>
      <c r="BK254" s="43">
        <f t="shared" si="256"/>
        <v>110.05075826881699</v>
      </c>
      <c r="BL254">
        <f t="shared" si="252"/>
        <v>4.1524750658371259</v>
      </c>
      <c r="BM254" s="43">
        <f t="shared" si="253"/>
        <v>107.34871276651835</v>
      </c>
    </row>
    <row r="255" spans="14:65" x14ac:dyDescent="0.25">
      <c r="N255" s="9">
        <v>37</v>
      </c>
      <c r="O255" s="34">
        <f t="shared" si="254"/>
        <v>2344.2288153199238</v>
      </c>
      <c r="P255" s="33" t="str">
        <f t="shared" si="206"/>
        <v>54,631621870174</v>
      </c>
      <c r="Q255" s="4" t="str">
        <f t="shared" si="207"/>
        <v>1+58,7051656772076i</v>
      </c>
      <c r="R255" s="4">
        <f t="shared" si="219"/>
        <v>58.713682197494592</v>
      </c>
      <c r="S255" s="4">
        <f t="shared" si="220"/>
        <v>1.5537636980114851</v>
      </c>
      <c r="T255" s="4" t="str">
        <f t="shared" si="208"/>
        <v>1+0,73646120245426i</v>
      </c>
      <c r="U255" s="4">
        <f t="shared" si="221"/>
        <v>1.2419239520680703</v>
      </c>
      <c r="V255" s="4">
        <f t="shared" si="222"/>
        <v>0.63477982169453329</v>
      </c>
      <c r="W255" t="str">
        <f t="shared" si="209"/>
        <v>1-0,0586125733854092i</v>
      </c>
      <c r="X255" s="4">
        <f t="shared" si="223"/>
        <v>1.001716244132469</v>
      </c>
      <c r="Y255" s="4">
        <f t="shared" si="224"/>
        <v>-5.8545591527237602E-2</v>
      </c>
      <c r="Z255" t="str">
        <f t="shared" si="210"/>
        <v>0,999978018365046+0,0080528935221634i</v>
      </c>
      <c r="AA255" s="4">
        <f t="shared" si="225"/>
        <v>1.0000104430991528</v>
      </c>
      <c r="AB255" s="4">
        <f t="shared" si="226"/>
        <v>8.0528964628308487E-3</v>
      </c>
      <c r="AC255" s="47" t="str">
        <f t="shared" si="227"/>
        <v>0,639405163527843-0,964927084801729i</v>
      </c>
      <c r="AD255" s="20">
        <f t="shared" si="228"/>
        <v>1.2707992039900962</v>
      </c>
      <c r="AE255" s="43">
        <f t="shared" si="229"/>
        <v>-56.469709837317417</v>
      </c>
      <c r="AF255" t="str">
        <f t="shared" si="211"/>
        <v>171,265703090588</v>
      </c>
      <c r="AG255" t="str">
        <f t="shared" si="212"/>
        <v>1+58,1433562180684i</v>
      </c>
      <c r="AH255">
        <f t="shared" si="230"/>
        <v>58.151955017017208</v>
      </c>
      <c r="AI255">
        <f t="shared" si="231"/>
        <v>1.5535991527381687</v>
      </c>
      <c r="AJ255" t="str">
        <f t="shared" si="213"/>
        <v>1+0,73646120245426i</v>
      </c>
      <c r="AK255">
        <f t="shared" si="232"/>
        <v>1.2419239520680703</v>
      </c>
      <c r="AL255">
        <f t="shared" si="233"/>
        <v>0.63477982169453329</v>
      </c>
      <c r="AM255" t="str">
        <f t="shared" si="214"/>
        <v>1-0,0185177367193593i</v>
      </c>
      <c r="AN255">
        <f t="shared" si="234"/>
        <v>1.0001714385910085</v>
      </c>
      <c r="AO255">
        <f t="shared" si="235"/>
        <v>-1.8515620536853312E-2</v>
      </c>
      <c r="AP255" s="41" t="str">
        <f t="shared" si="236"/>
        <v>2,16546831982904-2,94850346038099i</v>
      </c>
      <c r="AQ255">
        <f t="shared" si="237"/>
        <v>11.265510668320326</v>
      </c>
      <c r="AR255" s="43">
        <f t="shared" si="238"/>
        <v>-53.705336715661467</v>
      </c>
      <c r="AS255" t="str">
        <f t="shared" si="215"/>
        <v>-0,0000166666666666667</v>
      </c>
      <c r="AT255" t="str">
        <f t="shared" si="216"/>
        <v>0,0000488126484986682i</v>
      </c>
      <c r="AU255">
        <f t="shared" si="239"/>
        <v>4.8812648498668197E-5</v>
      </c>
      <c r="AV255">
        <f t="shared" si="240"/>
        <v>1.5707963267948966</v>
      </c>
      <c r="AW255" t="str">
        <f t="shared" si="217"/>
        <v>1+0,0164270404602954i</v>
      </c>
      <c r="AX255">
        <f t="shared" si="241"/>
        <v>1.0001349147281502</v>
      </c>
      <c r="AY255">
        <f t="shared" si="242"/>
        <v>1.6425563100018435E-2</v>
      </c>
      <c r="AZ255" t="str">
        <f t="shared" si="218"/>
        <v>1+3,88851514895849i</v>
      </c>
      <c r="BA255">
        <f t="shared" si="243"/>
        <v>4.0150404809515523</v>
      </c>
      <c r="BB255">
        <f t="shared" si="244"/>
        <v>1.3190831730585117</v>
      </c>
      <c r="BC255" s="41" t="str">
        <f t="shared" si="245"/>
        <v>-1,3217351224638+0,363153752555767i</v>
      </c>
      <c r="BD255">
        <f t="shared" si="246"/>
        <v>2.7389543348185224</v>
      </c>
      <c r="BE255" s="43">
        <f t="shared" si="247"/>
        <v>164.63678320122071</v>
      </c>
      <c r="BF255" s="41" t="str">
        <f t="shared" si="248"/>
        <v>-0,494707370331015+1,50758040313772i</v>
      </c>
      <c r="BG255" s="20">
        <f t="shared" si="249"/>
        <v>4.0097535388086145</v>
      </c>
      <c r="BH255" s="43">
        <f t="shared" si="250"/>
        <v>108.1670733639033</v>
      </c>
      <c r="BI255" s="41" t="str">
        <f t="shared" si="255"/>
        <v>-1,79141543883969+4,68353852867815i</v>
      </c>
      <c r="BJ255" s="20">
        <f t="shared" si="251"/>
        <v>14.00446500313884</v>
      </c>
      <c r="BK255" s="43">
        <f t="shared" si="256"/>
        <v>110.93144648555921</v>
      </c>
      <c r="BL255">
        <f t="shared" si="252"/>
        <v>4.0097535388086145</v>
      </c>
      <c r="BM255" s="43">
        <f t="shared" si="253"/>
        <v>108.1670733639033</v>
      </c>
    </row>
    <row r="256" spans="14:65" x14ac:dyDescent="0.25">
      <c r="N256" s="9">
        <v>38</v>
      </c>
      <c r="O256" s="34">
        <f t="shared" si="254"/>
        <v>2398.8329190194918</v>
      </c>
      <c r="P256" s="33" t="str">
        <f t="shared" si="206"/>
        <v>54,631621870174</v>
      </c>
      <c r="Q256" s="4" t="str">
        <f t="shared" si="207"/>
        <v>1+60,0725846481671i</v>
      </c>
      <c r="R256" s="4">
        <f t="shared" si="219"/>
        <v>60.080907335951586</v>
      </c>
      <c r="S256" s="4">
        <f t="shared" si="220"/>
        <v>1.5541513355357541</v>
      </c>
      <c r="T256" s="4" t="str">
        <f t="shared" si="208"/>
        <v>1+0,7536155875581i</v>
      </c>
      <c r="U256" s="4">
        <f t="shared" si="221"/>
        <v>1.2521726932857704</v>
      </c>
      <c r="V256" s="4">
        <f t="shared" si="222"/>
        <v>0.64581107181541952</v>
      </c>
      <c r="W256" t="str">
        <f t="shared" si="209"/>
        <v>1-0,0599778356048305i</v>
      </c>
      <c r="X256" s="4">
        <f t="shared" si="223"/>
        <v>1.0017970556773663</v>
      </c>
      <c r="Y256" s="4">
        <f t="shared" si="224"/>
        <v>-5.9906070202379834E-2</v>
      </c>
      <c r="Z256" t="str">
        <f t="shared" si="210"/>
        <v>0,999976982402507+0,00824046950881287i</v>
      </c>
      <c r="AA256" s="4">
        <f t="shared" si="225"/>
        <v>1.0000109352764845</v>
      </c>
      <c r="AB256" s="4">
        <f t="shared" si="226"/>
        <v>8.2404726597536514E-3</v>
      </c>
      <c r="AC256" s="47" t="str">
        <f t="shared" si="227"/>
        <v>0,638683730743376-0,945056708240605i</v>
      </c>
      <c r="AD256" s="20">
        <f t="shared" si="228"/>
        <v>1.1429368317695632</v>
      </c>
      <c r="AE256" s="43">
        <f t="shared" si="229"/>
        <v>-55.948572767382942</v>
      </c>
      <c r="AF256" t="str">
        <f t="shared" si="211"/>
        <v>171,265703090588</v>
      </c>
      <c r="AG256" t="str">
        <f t="shared" si="212"/>
        <v>1+59,4976889656329i</v>
      </c>
      <c r="AH256">
        <f t="shared" si="230"/>
        <v>59.506092059983196</v>
      </c>
      <c r="AI256">
        <f t="shared" si="231"/>
        <v>1.5539905336503854</v>
      </c>
      <c r="AJ256" t="str">
        <f t="shared" si="213"/>
        <v>1+0,7536155875581i</v>
      </c>
      <c r="AK256">
        <f t="shared" si="232"/>
        <v>1.2521726932857704</v>
      </c>
      <c r="AL256">
        <f t="shared" si="233"/>
        <v>0.64581107181541952</v>
      </c>
      <c r="AM256" t="str">
        <f t="shared" si="214"/>
        <v>1-0,0189490702178204i</v>
      </c>
      <c r="AN256">
        <f t="shared" si="234"/>
        <v>1.0001795175177903</v>
      </c>
      <c r="AO256">
        <f t="shared" si="235"/>
        <v>-1.8946802709392238E-2</v>
      </c>
      <c r="AP256" s="41" t="str">
        <f t="shared" si="236"/>
        <v>2,16321768305323-2,8832752418612i</v>
      </c>
      <c r="AQ256">
        <f t="shared" si="237"/>
        <v>11.137023142837529</v>
      </c>
      <c r="AR256" s="43">
        <f t="shared" si="238"/>
        <v>-53.120422034121177</v>
      </c>
      <c r="AS256" t="str">
        <f t="shared" si="215"/>
        <v>-0,0000166666666666667</v>
      </c>
      <c r="AT256" t="str">
        <f t="shared" si="216"/>
        <v>0,0000499496411433508i</v>
      </c>
      <c r="AU256">
        <f t="shared" si="239"/>
        <v>4.9949641143350798E-5</v>
      </c>
      <c r="AV256">
        <f t="shared" si="240"/>
        <v>1.5707963267948966</v>
      </c>
      <c r="AW256" t="str">
        <f t="shared" si="217"/>
        <v>1+0,0168096753869326i</v>
      </c>
      <c r="AX256">
        <f t="shared" si="241"/>
        <v>1.0001412726143313</v>
      </c>
      <c r="AY256">
        <f t="shared" si="242"/>
        <v>1.6808092378951492E-2</v>
      </c>
      <c r="AZ256" t="str">
        <f t="shared" si="218"/>
        <v>1+3,97909030230677i</v>
      </c>
      <c r="BA256">
        <f t="shared" si="243"/>
        <v>4.1028233734724413</v>
      </c>
      <c r="BB256">
        <f t="shared" si="244"/>
        <v>1.324581600735488</v>
      </c>
      <c r="BC256" s="41" t="str">
        <f t="shared" si="245"/>
        <v>-1,32171831800828+0,355887053399176i</v>
      </c>
      <c r="BD256">
        <f t="shared" si="246"/>
        <v>2.7267569717070304</v>
      </c>
      <c r="BE256" s="43">
        <f t="shared" si="247"/>
        <v>164.92990258784613</v>
      </c>
      <c r="BF256" s="41" t="str">
        <f t="shared" si="248"/>
        <v>-0,507826539146515+1,47639803382647i</v>
      </c>
      <c r="BG256" s="20">
        <f t="shared" si="249"/>
        <v>3.8696938034766108</v>
      </c>
      <c r="BH256" s="43">
        <f t="shared" si="250"/>
        <v>108.98132982046319</v>
      </c>
      <c r="BI256" s="41" t="str">
        <f t="shared" si="255"/>
        <v>-1,8330441075661+4,58073887011051i</v>
      </c>
      <c r="BJ256" s="20">
        <f t="shared" si="251"/>
        <v>13.863780114544559</v>
      </c>
      <c r="BK256" s="43">
        <f t="shared" si="256"/>
        <v>111.80948055372491</v>
      </c>
      <c r="BL256">
        <f t="shared" si="252"/>
        <v>3.8696938034766108</v>
      </c>
      <c r="BM256" s="43">
        <f t="shared" si="253"/>
        <v>108.98132982046319</v>
      </c>
    </row>
    <row r="257" spans="14:65" x14ac:dyDescent="0.25">
      <c r="N257" s="9">
        <v>39</v>
      </c>
      <c r="O257" s="34">
        <f t="shared" si="254"/>
        <v>2454.7089156850338</v>
      </c>
      <c r="P257" s="33" t="str">
        <f t="shared" si="206"/>
        <v>54,631621870174</v>
      </c>
      <c r="Q257" s="4" t="str">
        <f t="shared" si="207"/>
        <v>1+61,4718548986616i</v>
      </c>
      <c r="R257" s="4">
        <f t="shared" si="219"/>
        <v>61.479988164297055</v>
      </c>
      <c r="S257" s="4">
        <f t="shared" si="220"/>
        <v>1.5545301541868166</v>
      </c>
      <c r="T257" s="4" t="str">
        <f t="shared" si="208"/>
        <v>1+0,771169549621745i</v>
      </c>
      <c r="U257" s="4">
        <f t="shared" si="221"/>
        <v>1.2628152969709405</v>
      </c>
      <c r="V257" s="4">
        <f t="shared" si="222"/>
        <v>0.65691252964020141</v>
      </c>
      <c r="W257" t="str">
        <f t="shared" si="209"/>
        <v>1-0,06137489886659i</v>
      </c>
      <c r="X257" s="4">
        <f t="shared" si="223"/>
        <v>1.0018816687667682</v>
      </c>
      <c r="Y257" s="4">
        <f t="shared" si="224"/>
        <v>-6.129800865048983E-2</v>
      </c>
      <c r="Z257" t="str">
        <f t="shared" si="210"/>
        <v>0,999975897616557+0,00843241470147141i</v>
      </c>
      <c r="AA257" s="4">
        <f t="shared" si="225"/>
        <v>1.0000114506503095</v>
      </c>
      <c r="AB257" s="4">
        <f t="shared" si="226"/>
        <v>8.4324180777191077E-3</v>
      </c>
      <c r="AC257" s="47" t="str">
        <f t="shared" si="227"/>
        <v>0,637993229152402-0,925686348668827i</v>
      </c>
      <c r="AD257" s="20">
        <f t="shared" si="228"/>
        <v>1.0172322027026237</v>
      </c>
      <c r="AE257" s="43">
        <f t="shared" si="229"/>
        <v>-55.424960658252203</v>
      </c>
      <c r="AF257" t="str">
        <f t="shared" si="211"/>
        <v>171,265703090588</v>
      </c>
      <c r="AG257" t="str">
        <f t="shared" si="212"/>
        <v>1+60,883568175432i</v>
      </c>
      <c r="AH257">
        <f t="shared" si="230"/>
        <v>60.891780018098316</v>
      </c>
      <c r="AI257">
        <f t="shared" si="231"/>
        <v>1.5543730106209164</v>
      </c>
      <c r="AJ257" t="str">
        <f t="shared" si="213"/>
        <v>1+0,771169549621745i</v>
      </c>
      <c r="AK257">
        <f t="shared" si="232"/>
        <v>1.2628152969709405</v>
      </c>
      <c r="AL257">
        <f t="shared" si="233"/>
        <v>0.65691252964020141</v>
      </c>
      <c r="AM257" t="str">
        <f t="shared" si="214"/>
        <v>1-0,0193904507641315i</v>
      </c>
      <c r="AN257">
        <f t="shared" si="234"/>
        <v>1.0001879771227187</v>
      </c>
      <c r="AO257">
        <f t="shared" si="235"/>
        <v>-1.9388021109737787E-2</v>
      </c>
      <c r="AP257" s="41" t="str">
        <f t="shared" si="236"/>
        <v>2,16106828569204-2,81957236903752i</v>
      </c>
      <c r="AQ257">
        <f t="shared" si="237"/>
        <v>11.010663916490195</v>
      </c>
      <c r="AR257" s="43">
        <f t="shared" si="238"/>
        <v>-52.531549622674461</v>
      </c>
      <c r="AS257" t="str">
        <f t="shared" si="215"/>
        <v>-0,0000166666666666667</v>
      </c>
      <c r="AT257" t="str">
        <f t="shared" si="216"/>
        <v>0,0000511131177489294i</v>
      </c>
      <c r="AU257">
        <f t="shared" si="239"/>
        <v>5.1113117748929398E-5</v>
      </c>
      <c r="AV257">
        <f t="shared" si="240"/>
        <v>1.5707963267948966</v>
      </c>
      <c r="AW257" t="str">
        <f t="shared" si="217"/>
        <v>1+0,0172012230259624i</v>
      </c>
      <c r="AX257">
        <f t="shared" si="241"/>
        <v>1.0001479300951379</v>
      </c>
      <c r="AY257">
        <f t="shared" si="242"/>
        <v>1.7199526815900049E-2</v>
      </c>
      <c r="AZ257" t="str">
        <f t="shared" si="218"/>
        <v>1+4,07177522200281i</v>
      </c>
      <c r="BA257">
        <f t="shared" si="243"/>
        <v>4.1927739574792282</v>
      </c>
      <c r="BB257">
        <f t="shared" si="244"/>
        <v>1.3299695923248176</v>
      </c>
      <c r="BC257" s="41" t="str">
        <f t="shared" si="245"/>
        <v>-1,32170072204116+0,348809023644331i</v>
      </c>
      <c r="BD257">
        <f t="shared" si="246"/>
        <v>2.715071717554852</v>
      </c>
      <c r="BE257" s="43">
        <f t="shared" si="247"/>
        <v>165.21618422477366</v>
      </c>
      <c r="BF257" s="41" t="str">
        <f t="shared" si="248"/>
        <v>-0,520348360148042+1,44601811077158i</v>
      </c>
      <c r="BG257" s="20">
        <f t="shared" si="249"/>
        <v>3.7323039202574941</v>
      </c>
      <c r="BH257" s="43">
        <f t="shared" si="250"/>
        <v>109.79122356652141</v>
      </c>
      <c r="BI257" s="41" t="str">
        <f t="shared" si="255"/>
        <v>-1,87279322844091+4,48043095476516i</v>
      </c>
      <c r="BJ257" s="20">
        <f t="shared" si="251"/>
        <v>13.725735634045044</v>
      </c>
      <c r="BK257" s="43">
        <f t="shared" si="256"/>
        <v>112.68463460209918</v>
      </c>
      <c r="BL257">
        <f t="shared" si="252"/>
        <v>3.7323039202574941</v>
      </c>
      <c r="BM257" s="43">
        <f t="shared" si="253"/>
        <v>109.79122356652141</v>
      </c>
    </row>
    <row r="258" spans="14:65" x14ac:dyDescent="0.25">
      <c r="N258" s="9">
        <v>40</v>
      </c>
      <c r="O258" s="34">
        <f t="shared" si="254"/>
        <v>2511.8864315095811</v>
      </c>
      <c r="P258" s="33" t="str">
        <f t="shared" si="206"/>
        <v>54,631621870174</v>
      </c>
      <c r="Q258" s="4" t="str">
        <f t="shared" si="207"/>
        <v>1+62,9037183403i</v>
      </c>
      <c r="R258" s="4">
        <f t="shared" si="219"/>
        <v>62.911666493868957</v>
      </c>
      <c r="S258" s="4">
        <f t="shared" si="220"/>
        <v>1.5549003543841917</v>
      </c>
      <c r="T258" s="4" t="str">
        <f t="shared" si="208"/>
        <v>1+0,78913239598824i</v>
      </c>
      <c r="U258" s="4">
        <f t="shared" si="221"/>
        <v>1.2738641758045246</v>
      </c>
      <c r="V258" s="4">
        <f t="shared" si="222"/>
        <v>0.66807913640737593</v>
      </c>
      <c r="W258" t="str">
        <f t="shared" si="209"/>
        <v>1-0,0628045039121218i</v>
      </c>
      <c r="X258" s="4">
        <f t="shared" si="223"/>
        <v>1.0019702618898665</v>
      </c>
      <c r="Y258" s="4">
        <f t="shared" si="224"/>
        <v>-6.2722123308607949E-2</v>
      </c>
      <c r="Z258" t="str">
        <f t="shared" si="210"/>
        <v>0,999974761706221+0,00862883087202094i</v>
      </c>
      <c r="AA258" s="4">
        <f t="shared" si="225"/>
        <v>1.000011990313932</v>
      </c>
      <c r="AB258" s="4">
        <f t="shared" si="226"/>
        <v>8.6288344896837104E-3</v>
      </c>
      <c r="AC258" s="47" t="str">
        <f t="shared" si="227"/>
        <v>0,637332196434349-0,906805805535953i</v>
      </c>
      <c r="AD258" s="20">
        <f t="shared" si="228"/>
        <v>0.89371306613303381</v>
      </c>
      <c r="AE258" s="43">
        <f t="shared" si="229"/>
        <v>-54.899221718780943</v>
      </c>
      <c r="AF258" t="str">
        <f t="shared" si="211"/>
        <v>171,265703090588</v>
      </c>
      <c r="AG258" t="str">
        <f t="shared" si="212"/>
        <v>1+62,3017286589673i</v>
      </c>
      <c r="AH258">
        <f t="shared" si="230"/>
        <v>62.309753601627946</v>
      </c>
      <c r="AI258">
        <f t="shared" si="231"/>
        <v>1.5547467859962409</v>
      </c>
      <c r="AJ258" t="str">
        <f t="shared" si="213"/>
        <v>1+0,78913239598824i</v>
      </c>
      <c r="AK258">
        <f t="shared" si="232"/>
        <v>1.2738641758045246</v>
      </c>
      <c r="AL258">
        <f t="shared" si="233"/>
        <v>0.66807913640737593</v>
      </c>
      <c r="AM258" t="str">
        <f t="shared" si="214"/>
        <v>1-0,0198421123841008i</v>
      </c>
      <c r="AN258">
        <f t="shared" si="234"/>
        <v>1.000196835339856</v>
      </c>
      <c r="AO258">
        <f t="shared" si="235"/>
        <v>-1.983950899018324E-2</v>
      </c>
      <c r="AP258" s="41" t="str">
        <f t="shared" si="236"/>
        <v>2,15901557614023-2,75736129295152i</v>
      </c>
      <c r="AQ258">
        <f t="shared" si="237"/>
        <v>10.886459367054357</v>
      </c>
      <c r="AR258" s="43">
        <f t="shared" si="238"/>
        <v>-51.93903428497584</v>
      </c>
      <c r="AS258" t="str">
        <f t="shared" si="215"/>
        <v>-0,0000166666666666667</v>
      </c>
      <c r="AT258" t="str">
        <f t="shared" si="216"/>
        <v>0,0000523036952061004i</v>
      </c>
      <c r="AU258">
        <f t="shared" si="239"/>
        <v>5.2303695206100401E-5</v>
      </c>
      <c r="AV258">
        <f t="shared" si="240"/>
        <v>1.5707963267948966</v>
      </c>
      <c r="AW258" t="str">
        <f t="shared" si="217"/>
        <v>1+0,0176018909811257i</v>
      </c>
      <c r="AX258">
        <f t="shared" si="241"/>
        <v>1.0001549012858515</v>
      </c>
      <c r="AY258">
        <f t="shared" si="242"/>
        <v>1.7600073474500922E-2</v>
      </c>
      <c r="AZ258" t="str">
        <f t="shared" si="218"/>
        <v>1+4,16661905081791i</v>
      </c>
      <c r="BA258">
        <f t="shared" si="243"/>
        <v>4.2849404096951851</v>
      </c>
      <c r="BB258">
        <f t="shared" si="244"/>
        <v>1.3352487527471379</v>
      </c>
      <c r="BC258" s="41" t="str">
        <f t="shared" si="245"/>
        <v>-1,3216822973038+0,341915908523136i</v>
      </c>
      <c r="BD258">
        <f t="shared" si="246"/>
        <v>2.7038779243101843</v>
      </c>
      <c r="BE258" s="43">
        <f t="shared" si="247"/>
        <v>165.49570820330911</v>
      </c>
      <c r="BF258" s="41" t="str">
        <f t="shared" si="248"/>
        <v>-0,532299350675148+1,41642319724408i</v>
      </c>
      <c r="BG258" s="20">
        <f t="shared" si="249"/>
        <v>3.5975909904432326</v>
      </c>
      <c r="BH258" s="43">
        <f t="shared" si="250"/>
        <v>110.59648648452813</v>
      </c>
      <c r="BI258" s="41" t="str">
        <f t="shared" si="255"/>
        <v>-1,91074697498166+4,38255738039633i</v>
      </c>
      <c r="BJ258" s="20">
        <f t="shared" si="251"/>
        <v>13.590337291364543</v>
      </c>
      <c r="BK258" s="43">
        <f t="shared" si="256"/>
        <v>113.55667391833327</v>
      </c>
      <c r="BL258">
        <f t="shared" si="252"/>
        <v>3.5975909904432326</v>
      </c>
      <c r="BM258" s="43">
        <f t="shared" si="253"/>
        <v>110.59648648452813</v>
      </c>
    </row>
    <row r="259" spans="14:65" x14ac:dyDescent="0.25">
      <c r="N259" s="9">
        <v>41</v>
      </c>
      <c r="O259" s="34">
        <f t="shared" si="254"/>
        <v>2570.3957827688669</v>
      </c>
      <c r="P259" s="33" t="str">
        <f t="shared" si="206"/>
        <v>54,631621870174</v>
      </c>
      <c r="Q259" s="4" t="str">
        <f t="shared" si="207"/>
        <v>1+64,3689341660312i</v>
      </c>
      <c r="R259" s="4">
        <f t="shared" si="219"/>
        <v>64.376701419619636</v>
      </c>
      <c r="S259" s="4">
        <f t="shared" si="220"/>
        <v>1.5552621320068092</v>
      </c>
      <c r="T259" s="4" t="str">
        <f t="shared" si="208"/>
        <v>1+0,807513650796485i</v>
      </c>
      <c r="U259" s="4">
        <f t="shared" si="221"/>
        <v>1.2853319789932356</v>
      </c>
      <c r="V259" s="4">
        <f t="shared" si="222"/>
        <v>0.67930567415543253</v>
      </c>
      <c r="W259" t="str">
        <f t="shared" si="209"/>
        <v>1-0,0642674087369433i</v>
      </c>
      <c r="X259" s="4">
        <f t="shared" si="223"/>
        <v>1.0020630218832354</v>
      </c>
      <c r="Y259" s="4">
        <f t="shared" si="224"/>
        <v>-6.4179146142130897E-2</v>
      </c>
      <c r="Z259" t="str">
        <f t="shared" si="210"/>
        <v>0,99997357226208+0,00882982216291483i</v>
      </c>
      <c r="AA259" s="4">
        <f t="shared" si="225"/>
        <v>1.0000125554121877</v>
      </c>
      <c r="AB259" s="4">
        <f t="shared" si="226"/>
        <v>8.829826039252189E-3</v>
      </c>
      <c r="AC259" s="47" t="str">
        <f t="shared" si="227"/>
        <v>0,636699232572398-0,888405133256987i</v>
      </c>
      <c r="AD259" s="20">
        <f t="shared" si="228"/>
        <v>0.77240539676489461</v>
      </c>
      <c r="AE259" s="43">
        <f t="shared" si="229"/>
        <v>-54.371714044694329</v>
      </c>
      <c r="AF259" t="str">
        <f t="shared" si="211"/>
        <v>171,265703090588</v>
      </c>
      <c r="AG259" t="str">
        <f t="shared" si="212"/>
        <v>1+63,7529223436981i</v>
      </c>
      <c r="AH259">
        <f t="shared" si="230"/>
        <v>63.760764639091349</v>
      </c>
      <c r="AI259">
        <f t="shared" si="231"/>
        <v>1.5551120575390154</v>
      </c>
      <c r="AJ259" t="str">
        <f t="shared" si="213"/>
        <v>1+0,807513650796485i</v>
      </c>
      <c r="AK259">
        <f t="shared" si="232"/>
        <v>1.2853319789932356</v>
      </c>
      <c r="AL259">
        <f t="shared" si="233"/>
        <v>0.67930567415543253</v>
      </c>
      <c r="AM259" t="str">
        <f t="shared" si="214"/>
        <v>1-0,0203042945546975i</v>
      </c>
      <c r="AN259">
        <f t="shared" si="234"/>
        <v>1.0002061109478204</v>
      </c>
      <c r="AO259">
        <f t="shared" si="235"/>
        <v>-2.030150499890155E-2</v>
      </c>
      <c r="AP259" s="41" t="str">
        <f t="shared" si="236"/>
        <v>2,15705520721592-2,69660924046723i</v>
      </c>
      <c r="AQ259">
        <f t="shared" si="237"/>
        <v>10.76443403392684</v>
      </c>
      <c r="AR259" s="43">
        <f t="shared" si="238"/>
        <v>-51.34319999269654</v>
      </c>
      <c r="AS259" t="str">
        <f t="shared" si="215"/>
        <v>-0,0000166666666666667</v>
      </c>
      <c r="AT259" t="str">
        <f t="shared" si="216"/>
        <v>0,0000535220047747911i</v>
      </c>
      <c r="AU259">
        <f t="shared" si="239"/>
        <v>5.3522004774791097E-5</v>
      </c>
      <c r="AV259">
        <f t="shared" si="240"/>
        <v>1.5707963267948966</v>
      </c>
      <c r="AW259" t="str">
        <f t="shared" si="217"/>
        <v>1+0,0180118916918757i</v>
      </c>
      <c r="AX259">
        <f t="shared" si="241"/>
        <v>1.0001622009665831</v>
      </c>
      <c r="AY259">
        <f t="shared" si="242"/>
        <v>1.8009944215497301E-2</v>
      </c>
      <c r="AZ259" t="str">
        <f t="shared" si="218"/>
        <v>1+4,26367207620544i</v>
      </c>
      <c r="BA259">
        <f t="shared" si="243"/>
        <v>4.3793720524081996</v>
      </c>
      <c r="BB259">
        <f t="shared" si="244"/>
        <v>1.3404207035491618</v>
      </c>
      <c r="BC259" s="41" t="str">
        <f t="shared" si="245"/>
        <v>-1,32166300478588+0,335204051175702i</v>
      </c>
      <c r="BD259">
        <f t="shared" si="246"/>
        <v>2.6931556486574042</v>
      </c>
      <c r="BE259" s="43">
        <f t="shared" si="247"/>
        <v>165.76855529250946</v>
      </c>
      <c r="BF259" s="41" t="str">
        <f t="shared" si="248"/>
        <v>-0,543704821113468+1,38759636002636i</v>
      </c>
      <c r="BG259" s="20">
        <f t="shared" si="249"/>
        <v>3.4655610454223118</v>
      </c>
      <c r="BH259" s="43">
        <f t="shared" si="250"/>
        <v>111.3968412478151</v>
      </c>
      <c r="BI259" s="41" t="str">
        <f t="shared" si="255"/>
        <v>-1,94698572481557+4,28706231555771i</v>
      </c>
      <c r="BJ259" s="20">
        <f t="shared" si="251"/>
        <v>13.457589682584246</v>
      </c>
      <c r="BK259" s="43">
        <f t="shared" si="256"/>
        <v>114.42535529981288</v>
      </c>
      <c r="BL259">
        <f t="shared" si="252"/>
        <v>3.4655610454223118</v>
      </c>
      <c r="BM259" s="43">
        <f t="shared" si="253"/>
        <v>111.3968412478151</v>
      </c>
    </row>
    <row r="260" spans="14:65" x14ac:dyDescent="0.25">
      <c r="N260" s="9">
        <v>42</v>
      </c>
      <c r="O260" s="34">
        <f t="shared" si="254"/>
        <v>2630.2679918953822</v>
      </c>
      <c r="P260" s="33" t="str">
        <f t="shared" si="206"/>
        <v>54,631621870174</v>
      </c>
      <c r="Q260" s="4" t="str">
        <f t="shared" si="207"/>
        <v>1+65,8682792526808i</v>
      </c>
      <c r="R260" s="4">
        <f t="shared" si="219"/>
        <v>65.875869722601308</v>
      </c>
      <c r="S260" s="4">
        <f t="shared" si="220"/>
        <v>1.5556156784949311</v>
      </c>
      <c r="T260" s="4" t="str">
        <f t="shared" si="208"/>
        <v>1+0,82632306003109i</v>
      </c>
      <c r="U260" s="4">
        <f t="shared" si="221"/>
        <v>1.2972315905570386</v>
      </c>
      <c r="V260" s="4">
        <f t="shared" si="222"/>
        <v>0.69058677646801558</v>
      </c>
      <c r="W260" t="str">
        <f t="shared" si="209"/>
        <v>1-0,0657643889925569i</v>
      </c>
      <c r="X260" s="4">
        <f t="shared" si="223"/>
        <v>1.0021601443180448</v>
      </c>
      <c r="Y260" s="4">
        <f t="shared" si="224"/>
        <v>-6.5669824924806927E-2</v>
      </c>
      <c r="Z260" t="str">
        <f t="shared" si="210"/>
        <v>0,999972326761163+0,00903549514239603i</v>
      </c>
      <c r="AA260" s="4">
        <f t="shared" si="225"/>
        <v>1.0000131471438776</v>
      </c>
      <c r="AB260" s="4">
        <f t="shared" si="226"/>
        <v>9.035499295901115E-3</v>
      </c>
      <c r="AC260" s="47" t="str">
        <f t="shared" si="227"/>
        <v>0,636092996901853-0,870474636249246i</v>
      </c>
      <c r="AD260" s="20">
        <f t="shared" si="228"/>
        <v>0.65333330446438409</v>
      </c>
      <c r="AE260" s="43">
        <f t="shared" si="229"/>
        <v>-53.842805027980845</v>
      </c>
      <c r="AF260" t="str">
        <f t="shared" si="211"/>
        <v>171,265703090588</v>
      </c>
      <c r="AG260" t="str">
        <f t="shared" si="212"/>
        <v>1+65,2379186717253i</v>
      </c>
      <c r="AH260">
        <f t="shared" si="230"/>
        <v>65.24558247589367</v>
      </c>
      <c r="AI260">
        <f t="shared" si="231"/>
        <v>1.5554690185309372</v>
      </c>
      <c r="AJ260" t="str">
        <f t="shared" si="213"/>
        <v>1+0,82632306003109i</v>
      </c>
      <c r="AK260">
        <f t="shared" si="232"/>
        <v>1.2972315905570386</v>
      </c>
      <c r="AL260">
        <f t="shared" si="233"/>
        <v>0.69058677646801558</v>
      </c>
      <c r="AM260" t="str">
        <f t="shared" si="214"/>
        <v>1-0,0207772423310262i</v>
      </c>
      <c r="AN260">
        <f t="shared" si="234"/>
        <v>1.000215823609526</v>
      </c>
      <c r="AO260">
        <f t="shared" si="235"/>
        <v>-2.077425330297088E-2</v>
      </c>
      <c r="AP260" s="41" t="str">
        <f t="shared" si="236"/>
        <v>2,15518302699815-2,63728419790393i</v>
      </c>
      <c r="AQ260">
        <f t="shared" si="237"/>
        <v>10.644610525038075</v>
      </c>
      <c r="AR260" s="43">
        <f t="shared" si="238"/>
        <v>-50.744379282813426</v>
      </c>
      <c r="AS260" t="str">
        <f t="shared" si="215"/>
        <v>-0,0000166666666666667</v>
      </c>
      <c r="AT260" t="str">
        <f t="shared" si="216"/>
        <v>0,0000547686924188607i</v>
      </c>
      <c r="AU260">
        <f t="shared" si="239"/>
        <v>5.4768692418860701E-5</v>
      </c>
      <c r="AV260">
        <f t="shared" si="240"/>
        <v>1.5707963267948966</v>
      </c>
      <c r="AW260" t="str">
        <f t="shared" si="217"/>
        <v>1+0,0184314425460163i</v>
      </c>
      <c r="AX260">
        <f t="shared" si="241"/>
        <v>1.0001698446135672</v>
      </c>
      <c r="AY260">
        <f t="shared" si="242"/>
        <v>1.8429355806618711E-2</v>
      </c>
      <c r="AZ260" t="str">
        <f t="shared" si="218"/>
        <v>1+4,36298575696415i</v>
      </c>
      <c r="BA260">
        <f t="shared" si="243"/>
        <v>4.4761193812801778</v>
      </c>
      <c r="BB260">
        <f t="shared" si="244"/>
        <v>1.3454870797207672</v>
      </c>
      <c r="BC260" s="41" t="str">
        <f t="shared" si="245"/>
        <v>-1,32164280364326+0,328669890701752i</v>
      </c>
      <c r="BD260">
        <f t="shared" si="246"/>
        <v>2.6828856362527818</v>
      </c>
      <c r="BE260" s="43">
        <f t="shared" si="247"/>
        <v>166.03480675051796</v>
      </c>
      <c r="BF260" s="41" t="str">
        <f t="shared" si="248"/>
        <v>-0,554588928248521+1,35952115452068i</v>
      </c>
      <c r="BG260" s="20">
        <f t="shared" si="249"/>
        <v>3.3362189407171545</v>
      </c>
      <c r="BH260" s="43">
        <f t="shared" si="250"/>
        <v>112.19200172253713</v>
      </c>
      <c r="BI260" s="41" t="str">
        <f t="shared" si="255"/>
        <v>-1,98158622909166+4,19389145124757i</v>
      </c>
      <c r="BJ260" s="20">
        <f t="shared" si="251"/>
        <v>13.32749616129086</v>
      </c>
      <c r="BK260" s="43">
        <f t="shared" si="256"/>
        <v>115.29042746770452</v>
      </c>
      <c r="BL260">
        <f t="shared" si="252"/>
        <v>3.3362189407171545</v>
      </c>
      <c r="BM260" s="43">
        <f t="shared" si="253"/>
        <v>112.19200172253713</v>
      </c>
    </row>
    <row r="261" spans="14:65" x14ac:dyDescent="0.25">
      <c r="N261" s="9">
        <v>43</v>
      </c>
      <c r="O261" s="34">
        <f t="shared" si="254"/>
        <v>2691.5348039269184</v>
      </c>
      <c r="P261" s="33" t="str">
        <f t="shared" si="206"/>
        <v>54,631621870174</v>
      </c>
      <c r="Q261" s="4" t="str">
        <f t="shared" si="207"/>
        <v>1+67,4025485728602i</v>
      </c>
      <c r="R261" s="4">
        <f t="shared" si="219"/>
        <v>67.409966281824964</v>
      </c>
      <c r="S261" s="4">
        <f t="shared" si="220"/>
        <v>1.5559611809498501</v>
      </c>
      <c r="T261" s="4" t="str">
        <f t="shared" si="208"/>
        <v>1+0,845570596689805i</v>
      </c>
      <c r="U261" s="4">
        <f t="shared" si="221"/>
        <v>1.3095761276024975</v>
      </c>
      <c r="V261" s="4">
        <f t="shared" si="222"/>
        <v>0.70191694008659855</v>
      </c>
      <c r="W261" t="str">
        <f t="shared" si="209"/>
        <v>1-0,0672962383977092i</v>
      </c>
      <c r="X261" s="4">
        <f t="shared" si="223"/>
        <v>1.0022618339049338</v>
      </c>
      <c r="Y261" s="4">
        <f t="shared" si="224"/>
        <v>-6.7194923519553099E-2</v>
      </c>
      <c r="Z261" t="str">
        <f t="shared" si="210"/>
        <v>0,999971022561597+0,00924595886100067i</v>
      </c>
      <c r="AA261" s="4">
        <f t="shared" si="225"/>
        <v>1.0000137667643108</v>
      </c>
      <c r="AB261" s="4">
        <f t="shared" si="226"/>
        <v>9.2459633114883571E-3</v>
      </c>
      <c r="AC261" s="47" t="str">
        <f t="shared" si="227"/>
        <v>0,635512205282825-0,853004864080742i</v>
      </c>
      <c r="AD261" s="20">
        <f t="shared" si="228"/>
        <v>0.53651895022563834</v>
      </c>
      <c r="AE261" s="43">
        <f t="shared" si="229"/>
        <v>-53.312870716574444</v>
      </c>
      <c r="AF261" t="str">
        <f t="shared" si="211"/>
        <v>171,265703090588</v>
      </c>
      <c r="AG261" t="str">
        <f t="shared" si="212"/>
        <v>1+66,7575050077584i</v>
      </c>
      <c r="AH261">
        <f t="shared" si="230"/>
        <v>66.764994382242605</v>
      </c>
      <c r="AI261">
        <f t="shared" si="231"/>
        <v>1.5558178578733655</v>
      </c>
      <c r="AJ261" t="str">
        <f t="shared" si="213"/>
        <v>1+0,845570596689805i</v>
      </c>
      <c r="AK261">
        <f t="shared" si="232"/>
        <v>1.3095761276024975</v>
      </c>
      <c r="AL261">
        <f t="shared" si="233"/>
        <v>0.70191694008659855</v>
      </c>
      <c r="AM261" t="str">
        <f t="shared" si="214"/>
        <v>1-0,0212612064762582i</v>
      </c>
      <c r="AN261">
        <f t="shared" si="234"/>
        <v>1.0002259939137885</v>
      </c>
      <c r="AO261">
        <f t="shared" si="235"/>
        <v>-2.1258003714075272E-2</v>
      </c>
      <c r="AP261" s="41" t="str">
        <f t="shared" si="236"/>
        <v>2,15339507007331-2,57935489500447i</v>
      </c>
      <c r="AQ261">
        <f t="shared" si="237"/>
        <v>10.527009429802254</v>
      </c>
      <c r="AR261" s="43">
        <f t="shared" si="238"/>
        <v>-50.142912605219209</v>
      </c>
      <c r="AS261" t="str">
        <f t="shared" si="215"/>
        <v>-0,0000166666666666667</v>
      </c>
      <c r="AT261" t="str">
        <f t="shared" si="216"/>
        <v>0,0000560444191486003i</v>
      </c>
      <c r="AU261">
        <f t="shared" si="239"/>
        <v>5.6044419148600303E-5</v>
      </c>
      <c r="AV261">
        <f t="shared" si="240"/>
        <v>1.5707963267948966</v>
      </c>
      <c r="AW261" t="str">
        <f t="shared" si="217"/>
        <v>1+0,0188607659949639i</v>
      </c>
      <c r="AX261">
        <f t="shared" si="241"/>
        <v>1.0001778484319261</v>
      </c>
      <c r="AY261">
        <f t="shared" si="242"/>
        <v>1.8858530034887494E-2</v>
      </c>
      <c r="AZ261" t="str">
        <f t="shared" si="218"/>
        <v>1+4,46461275052217i</v>
      </c>
      <c r="BA261">
        <f t="shared" si="243"/>
        <v>4.5752340936967517</v>
      </c>
      <c r="BB261">
        <f t="shared" si="244"/>
        <v>1.3504495267008643</v>
      </c>
      <c r="BC261" s="41" t="str">
        <f t="shared" si="245"/>
        <v>-1,32162165111198+0,322309960262162i</v>
      </c>
      <c r="BD261">
        <f t="shared" si="246"/>
        <v>2.6730493054616495</v>
      </c>
      <c r="BE261" s="43">
        <f t="shared" si="247"/>
        <v>166.29454414657928</v>
      </c>
      <c r="BF261" s="41" t="str">
        <f t="shared" si="248"/>
        <v>-0,564974726202408+1,33218161050377i</v>
      </c>
      <c r="BG261" s="20">
        <f t="shared" si="249"/>
        <v>3.2095682556873055</v>
      </c>
      <c r="BH261" s="43">
        <f t="shared" si="250"/>
        <v>112.9816734300048</v>
      </c>
      <c r="BI261" s="41" t="str">
        <f t="shared" si="255"/>
        <v>-2,01462177429578+4,10299195460364i</v>
      </c>
      <c r="BJ261" s="20">
        <f t="shared" si="251"/>
        <v>13.200058735263905</v>
      </c>
      <c r="BK261" s="43">
        <f t="shared" si="256"/>
        <v>116.15163154136006</v>
      </c>
      <c r="BL261">
        <f t="shared" si="252"/>
        <v>3.2095682556873055</v>
      </c>
      <c r="BM261" s="43">
        <f t="shared" si="253"/>
        <v>112.9816734300048</v>
      </c>
    </row>
    <row r="262" spans="14:65" x14ac:dyDescent="0.25">
      <c r="N262" s="9">
        <v>44</v>
      </c>
      <c r="O262" s="34">
        <f t="shared" si="254"/>
        <v>2754.228703338169</v>
      </c>
      <c r="P262" s="33" t="str">
        <f t="shared" si="206"/>
        <v>54,631621870174</v>
      </c>
      <c r="Q262" s="4" t="str">
        <f t="shared" si="207"/>
        <v>1+68,9725556164712i</v>
      </c>
      <c r="R262" s="4">
        <f t="shared" si="219"/>
        <v>68.979804495716081</v>
      </c>
      <c r="S262" s="4">
        <f t="shared" si="220"/>
        <v>1.5562988222314051</v>
      </c>
      <c r="T262" s="4" t="str">
        <f t="shared" si="208"/>
        <v>1+0,865266466071335i</v>
      </c>
      <c r="U262" s="4">
        <f t="shared" si="221"/>
        <v>1.3223789386206877</v>
      </c>
      <c r="V262" s="4">
        <f t="shared" si="222"/>
        <v>0.7132905373379449</v>
      </c>
      <c r="W262" t="str">
        <f t="shared" si="209"/>
        <v>1-0,0688637691592309i</v>
      </c>
      <c r="X262" s="4">
        <f t="shared" si="223"/>
        <v>1.0023683049173173</v>
      </c>
      <c r="Y262" s="4">
        <f t="shared" si="224"/>
        <v>-6.875522215972972E-2</v>
      </c>
      <c r="Z262" t="str">
        <f t="shared" si="210"/>
        <v>0,999969656896999+0,00946132490937814i</v>
      </c>
      <c r="AA262" s="4">
        <f t="shared" si="225"/>
        <v>1.0000144155879669</v>
      </c>
      <c r="AB262" s="4">
        <f t="shared" si="226"/>
        <v>9.4613296780794911E-3</v>
      </c>
      <c r="AC262" s="47" t="str">
        <f t="shared" si="227"/>
        <v>0,634955627391395-0,835986606728855i</v>
      </c>
      <c r="AD262" s="20">
        <f t="shared" si="228"/>
        <v>0.42198246901571401</v>
      </c>
      <c r="AE262" s="43">
        <f t="shared" si="229"/>
        <v>-52.782295127330073</v>
      </c>
      <c r="AF262" t="str">
        <f t="shared" si="211"/>
        <v>171,265703090588</v>
      </c>
      <c r="AG262" t="str">
        <f t="shared" si="212"/>
        <v>1+68,3124870565866i</v>
      </c>
      <c r="AH262">
        <f t="shared" si="230"/>
        <v>68.319805970569845</v>
      </c>
      <c r="AI262">
        <f t="shared" si="231"/>
        <v>1.5561587601857427</v>
      </c>
      <c r="AJ262" t="str">
        <f t="shared" si="213"/>
        <v>1+0,865266466071335i</v>
      </c>
      <c r="AK262">
        <f t="shared" si="232"/>
        <v>1.3223789386206877</v>
      </c>
      <c r="AL262">
        <f t="shared" si="233"/>
        <v>0.7132905373379449</v>
      </c>
      <c r="AM262" t="str">
        <f t="shared" si="214"/>
        <v>1-0,0217564435945892i</v>
      </c>
      <c r="AN262">
        <f t="shared" si="234"/>
        <v>1.0002366434188883</v>
      </c>
      <c r="AO262">
        <f t="shared" si="235"/>
        <v>-2.1753011816929801E-2</v>
      </c>
      <c r="AP262" s="41" t="str">
        <f t="shared" si="236"/>
        <v>2,15168754917262-2,52279078923511i</v>
      </c>
      <c r="AQ262">
        <f t="shared" si="237"/>
        <v>10.411649238815318</v>
      </c>
      <c r="AR262" s="43">
        <f t="shared" si="238"/>
        <v>-49.539147623679199</v>
      </c>
      <c r="AS262" t="str">
        <f t="shared" si="215"/>
        <v>-0,0000166666666666667</v>
      </c>
      <c r="AT262" t="str">
        <f t="shared" si="216"/>
        <v>0,000057349861371208i</v>
      </c>
      <c r="AU262">
        <f t="shared" si="239"/>
        <v>5.7349861371207999E-5</v>
      </c>
      <c r="AV262">
        <f t="shared" si="240"/>
        <v>1.5707963267948966</v>
      </c>
      <c r="AW262" t="str">
        <f t="shared" si="217"/>
        <v>1+0,0193000896716937i</v>
      </c>
      <c r="AX262">
        <f t="shared" si="241"/>
        <v>1.0001862293899748</v>
      </c>
      <c r="AY262">
        <f t="shared" si="242"/>
        <v>1.9297693821398752E-2</v>
      </c>
      <c r="AZ262" t="str">
        <f t="shared" si="218"/>
        <v>1+4,56860694085665i</v>
      </c>
      <c r="BA262">
        <f t="shared" si="243"/>
        <v>4.6767691176755308</v>
      </c>
      <c r="BB262">
        <f t="shared" si="244"/>
        <v>1.3553096975663521</v>
      </c>
      <c r="BC262" s="41" t="str">
        <f t="shared" si="245"/>
        <v>-1,32159950241831+0,316120885229671i</v>
      </c>
      <c r="BD262">
        <f t="shared" si="246"/>
        <v>2.6636287306927668</v>
      </c>
      <c r="BE262" s="43">
        <f t="shared" si="247"/>
        <v>166.54784919340213</v>
      </c>
      <c r="BF262" s="41" t="str">
        <f t="shared" si="248"/>
        <v>-0,574884215058899+1,30556221849376i</v>
      </c>
      <c r="BG262" s="20">
        <f t="shared" si="249"/>
        <v>3.0856111997085067</v>
      </c>
      <c r="BH262" s="43">
        <f t="shared" si="250"/>
        <v>113.76555406607197</v>
      </c>
      <c r="BI262" s="41" t="str">
        <f t="shared" si="255"/>
        <v>-2,04616233680394+4,01431242454073i</v>
      </c>
      <c r="BJ262" s="20">
        <f t="shared" si="251"/>
        <v>13.075277969508088</v>
      </c>
      <c r="BK262" s="43">
        <f t="shared" si="256"/>
        <v>117.00870156972286</v>
      </c>
      <c r="BL262">
        <f t="shared" si="252"/>
        <v>3.0856111997085067</v>
      </c>
      <c r="BM262" s="43">
        <f t="shared" si="253"/>
        <v>113.76555406607197</v>
      </c>
    </row>
    <row r="263" spans="14:65" x14ac:dyDescent="0.25">
      <c r="N263" s="9">
        <v>45</v>
      </c>
      <c r="O263" s="34">
        <f t="shared" si="254"/>
        <v>2818.3829312644561</v>
      </c>
      <c r="P263" s="33" t="str">
        <f t="shared" si="206"/>
        <v>54,631621870174</v>
      </c>
      <c r="Q263" s="4" t="str">
        <f t="shared" si="207"/>
        <v>1+70,5791328220295i</v>
      </c>
      <c r="R263" s="4">
        <f t="shared" si="219"/>
        <v>70.586216713390172</v>
      </c>
      <c r="S263" s="4">
        <f t="shared" si="220"/>
        <v>1.5566287810533626</v>
      </c>
      <c r="T263" s="4" t="str">
        <f t="shared" si="208"/>
        <v>1+0,88542111118633i</v>
      </c>
      <c r="U263" s="4">
        <f t="shared" si="221"/>
        <v>1.3356536018498342</v>
      </c>
      <c r="V263" s="4">
        <f t="shared" si="222"/>
        <v>0.72470182931480764</v>
      </c>
      <c r="W263" t="str">
        <f t="shared" si="209"/>
        <v>1-0,0704678124026805i</v>
      </c>
      <c r="X263" s="4">
        <f t="shared" si="223"/>
        <v>1.0024797816339337</v>
      </c>
      <c r="Y263" s="4">
        <f t="shared" si="224"/>
        <v>-7.0351517730466773E-2</v>
      </c>
      <c r="Z263" t="str">
        <f t="shared" si="210"/>
        <v>0,999968226870611+0,009681707477458i</v>
      </c>
      <c r="AA263" s="4">
        <f t="shared" si="225"/>
        <v>1.0000150949912869</v>
      </c>
      <c r="AB263" s="4">
        <f t="shared" si="226"/>
        <v>9.6817125871214143E-3</v>
      </c>
      <c r="AC263" s="47" t="str">
        <f t="shared" si="227"/>
        <v>0,634422084123602-0,819410889948008i</v>
      </c>
      <c r="AD263" s="20">
        <f t="shared" si="228"/>
        <v>0.30974190017271108</v>
      </c>
      <c r="AE263" s="43">
        <f t="shared" si="229"/>
        <v>-52.25146951579918</v>
      </c>
      <c r="AF263" t="str">
        <f t="shared" si="211"/>
        <v>171,265703090588</v>
      </c>
      <c r="AG263" t="str">
        <f t="shared" si="212"/>
        <v>1+69,9036892902748i</v>
      </c>
      <c r="AH263">
        <f t="shared" si="230"/>
        <v>69.910841622678817</v>
      </c>
      <c r="AI263">
        <f t="shared" si="231"/>
        <v>1.5564919059018636</v>
      </c>
      <c r="AJ263" t="str">
        <f t="shared" si="213"/>
        <v>1+0,88542111118633i</v>
      </c>
      <c r="AK263">
        <f t="shared" si="232"/>
        <v>1.3356536018498342</v>
      </c>
      <c r="AL263">
        <f t="shared" si="233"/>
        <v>0.72470182931480764</v>
      </c>
      <c r="AM263" t="str">
        <f t="shared" si="214"/>
        <v>1-0,0222632162672947i</v>
      </c>
      <c r="AN263">
        <f t="shared" si="234"/>
        <v>1.0002477946981758</v>
      </c>
      <c r="AO263">
        <f t="shared" si="235"/>
        <v>-2.2259539100480005E-2</v>
      </c>
      <c r="AP263" s="41" t="str">
        <f t="shared" si="236"/>
        <v>2,15005684718306-2,46756205041237i</v>
      </c>
      <c r="AQ263">
        <f t="shared" si="237"/>
        <v>10.298546270969025</v>
      </c>
      <c r="AR263" s="43">
        <f t="shared" si="238"/>
        <v>-48.933438473665717</v>
      </c>
      <c r="AS263" t="str">
        <f t="shared" si="215"/>
        <v>-0,0000166666666666667</v>
      </c>
      <c r="AT263" t="str">
        <f t="shared" si="216"/>
        <v>0,0000586857112494298i</v>
      </c>
      <c r="AU263">
        <f t="shared" si="239"/>
        <v>5.86857112494298E-5</v>
      </c>
      <c r="AV263">
        <f t="shared" si="240"/>
        <v>1.5707963267948966</v>
      </c>
      <c r="AW263" t="str">
        <f t="shared" si="217"/>
        <v>1+0,0197496465114344i</v>
      </c>
      <c r="AX263">
        <f t="shared" si="241"/>
        <v>1.0001950052551385</v>
      </c>
      <c r="AY263">
        <f t="shared" si="242"/>
        <v>1.9747079338622658E-2</v>
      </c>
      <c r="AZ263" t="str">
        <f t="shared" si="218"/>
        <v>1+4,67502346706382i</v>
      </c>
      <c r="BA263">
        <f t="shared" si="243"/>
        <v>4.7807786413509481</v>
      </c>
      <c r="BB263">
        <f t="shared" si="244"/>
        <v>1.3600692503981666</v>
      </c>
      <c r="BC263" s="41" t="str">
        <f t="shared" si="245"/>
        <v>-1,32157631068452+0,310099381387666i</v>
      </c>
      <c r="BD263">
        <f t="shared" si="246"/>
        <v>2.6546066254162728</v>
      </c>
      <c r="BE263" s="43">
        <f t="shared" si="247"/>
        <v>166.7948035895235</v>
      </c>
      <c r="BF263" s="41" t="str">
        <f t="shared" si="248"/>
        <v>-0,58433838727766+1,27964791669761i</v>
      </c>
      <c r="BG263" s="20">
        <f t="shared" si="249"/>
        <v>2.9643485255889805</v>
      </c>
      <c r="BH263" s="43">
        <f t="shared" si="250"/>
        <v>114.54333407372431</v>
      </c>
      <c r="BI263" s="41" t="str">
        <f t="shared" si="255"/>
        <v>-2,07627473049362+3,92780284922889i</v>
      </c>
      <c r="BJ263" s="20">
        <f t="shared" si="251"/>
        <v>12.953152896385291</v>
      </c>
      <c r="BK263" s="43">
        <f t="shared" si="256"/>
        <v>117.86136511585774</v>
      </c>
      <c r="BL263">
        <f t="shared" si="252"/>
        <v>2.9643485255889805</v>
      </c>
      <c r="BM263" s="43">
        <f t="shared" si="253"/>
        <v>114.54333407372431</v>
      </c>
    </row>
    <row r="264" spans="14:65" x14ac:dyDescent="0.25">
      <c r="N264" s="9">
        <v>46</v>
      </c>
      <c r="O264" s="34">
        <f t="shared" si="254"/>
        <v>2884.0315031266077</v>
      </c>
      <c r="P264" s="33" t="str">
        <f t="shared" si="206"/>
        <v>54,631621870174</v>
      </c>
      <c r="Q264" s="4" t="str">
        <f t="shared" si="207"/>
        <v>1+72,2231320180354i</v>
      </c>
      <c r="R264" s="4">
        <f t="shared" si="219"/>
        <v>72.230054675976604</v>
      </c>
      <c r="S264" s="4">
        <f t="shared" si="220"/>
        <v>1.5569512320767043</v>
      </c>
      <c r="T264" s="4" t="str">
        <f t="shared" si="208"/>
        <v>1+0,90604521829441i</v>
      </c>
      <c r="U264" s="4">
        <f t="shared" si="221"/>
        <v>1.3494139237439953</v>
      </c>
      <c r="V264" s="4">
        <f t="shared" si="222"/>
        <v>0.73614497974003168</v>
      </c>
      <c r="W264" t="str">
        <f t="shared" si="209"/>
        <v>1-0,0721092186130178i</v>
      </c>
      <c r="X264" s="4">
        <f t="shared" si="223"/>
        <v>1.0025964988014771</v>
      </c>
      <c r="Y264" s="4">
        <f t="shared" si="224"/>
        <v>-7.1984624049599141E-2</v>
      </c>
      <c r="Z264" t="str">
        <f t="shared" si="210"/>
        <v>0,999966729449156+0,00990722341499495i</v>
      </c>
      <c r="AA264" s="4">
        <f t="shared" si="225"/>
        <v>1.0000158064155968</v>
      </c>
      <c r="AB264" s="4">
        <f t="shared" si="226"/>
        <v>9.9072288899945543E-3</v>
      </c>
      <c r="AC264" s="47" t="str">
        <f t="shared" si="227"/>
        <v>0,633910445106885-0,803268970745136i</v>
      </c>
      <c r="AD264" s="20">
        <f t="shared" si="228"/>
        <v>0.19981312598229911</v>
      </c>
      <c r="AE264" s="43">
        <f t="shared" si="229"/>
        <v>-51.720791606786115</v>
      </c>
      <c r="AF264" t="str">
        <f t="shared" si="211"/>
        <v>171,265703090588</v>
      </c>
      <c r="AG264" t="str">
        <f t="shared" si="212"/>
        <v>1+71,5319553853094i</v>
      </c>
      <c r="AH264">
        <f t="shared" si="230"/>
        <v>71.538944926843129</v>
      </c>
      <c r="AI264">
        <f t="shared" si="231"/>
        <v>1.5568174713640308</v>
      </c>
      <c r="AJ264" t="str">
        <f t="shared" si="213"/>
        <v>1+0,90604521829441i</v>
      </c>
      <c r="AK264">
        <f t="shared" si="232"/>
        <v>1.3494139237439953</v>
      </c>
      <c r="AL264">
        <f t="shared" si="233"/>
        <v>0.73614497974003168</v>
      </c>
      <c r="AM264" t="str">
        <f t="shared" si="214"/>
        <v>1-0,0227817931919535i</v>
      </c>
      <c r="AN264">
        <f t="shared" si="234"/>
        <v>1.0002594713878199</v>
      </c>
      <c r="AO264">
        <f t="shared" si="235"/>
        <v>-2.2777853091922953E-2</v>
      </c>
      <c r="AP264" s="41" t="str">
        <f t="shared" si="236"/>
        <v>2,14849950951556-2,41363954565316i</v>
      </c>
      <c r="AQ264">
        <f t="shared" si="237"/>
        <v>10.187714608602329</v>
      </c>
      <c r="AR264" s="43">
        <f t="shared" si="238"/>
        <v>-48.326144981076702</v>
      </c>
      <c r="AS264" t="str">
        <f t="shared" si="215"/>
        <v>-0,0000166666666666667</v>
      </c>
      <c r="AT264" t="str">
        <f t="shared" si="216"/>
        <v>0,0000600526770685534i</v>
      </c>
      <c r="AU264">
        <f t="shared" si="239"/>
        <v>6.0052677068553398E-5</v>
      </c>
      <c r="AV264">
        <f t="shared" si="240"/>
        <v>1.5707963267948966</v>
      </c>
      <c r="AW264" t="str">
        <f t="shared" si="217"/>
        <v>1+0,0202096748751728i</v>
      </c>
      <c r="AX264">
        <f t="shared" si="241"/>
        <v>1.0002041946315563</v>
      </c>
      <c r="AY264">
        <f t="shared" si="242"/>
        <v>2.020692413027448E-2</v>
      </c>
      <c r="AZ264" t="str">
        <f t="shared" si="218"/>
        <v>1+4,78391875259448i</v>
      </c>
      <c r="BA264">
        <f t="shared" si="243"/>
        <v>4.8873181430540331</v>
      </c>
      <c r="BB264">
        <f t="shared" si="244"/>
        <v>1.3647298458181885</v>
      </c>
      <c r="BC264" s="41" t="str">
        <f t="shared" si="245"/>
        <v>-1,32155202683036+0,304242253176069i</v>
      </c>
      <c r="BD264">
        <f t="shared" si="246"/>
        <v>2.6459663249466892</v>
      </c>
      <c r="BE264" s="43">
        <f t="shared" si="247"/>
        <v>167.03548887131598</v>
      </c>
      <c r="BF264" s="41" t="str">
        <f t="shared" si="248"/>
        <v>-0,593357271994017+1,25442407850934i</v>
      </c>
      <c r="BG264" s="20">
        <f t="shared" si="249"/>
        <v>2.8457794509290144</v>
      </c>
      <c r="BH264" s="43">
        <f t="shared" si="250"/>
        <v>115.31469726452976</v>
      </c>
      <c r="BI264" s="41" t="str">
        <f t="shared" si="255"/>
        <v>-2,10502274771994+3,84341456531854i</v>
      </c>
      <c r="BJ264" s="20">
        <f t="shared" si="251"/>
        <v>12.833680933549026</v>
      </c>
      <c r="BK264" s="43">
        <f t="shared" si="256"/>
        <v>118.70934389023921</v>
      </c>
      <c r="BL264">
        <f t="shared" si="252"/>
        <v>2.8457794509290144</v>
      </c>
      <c r="BM264" s="43">
        <f t="shared" si="253"/>
        <v>115.31469726452976</v>
      </c>
    </row>
    <row r="265" spans="14:65" x14ac:dyDescent="0.25">
      <c r="N265" s="9">
        <v>47</v>
      </c>
      <c r="O265" s="34">
        <f t="shared" si="254"/>
        <v>2951.2092266663876</v>
      </c>
      <c r="P265" s="33" t="str">
        <f t="shared" si="206"/>
        <v>54,631621870174</v>
      </c>
      <c r="Q265" s="4" t="str">
        <f t="shared" si="207"/>
        <v>1+73,9054248746233i</v>
      </c>
      <c r="R265" s="4">
        <f t="shared" si="219"/>
        <v>73.91218996822235</v>
      </c>
      <c r="S265" s="4">
        <f t="shared" si="220"/>
        <v>1.5572663460008631</v>
      </c>
      <c r="T265" s="4" t="str">
        <f t="shared" si="208"/>
        <v>1+0,927149722570155i</v>
      </c>
      <c r="U265" s="4">
        <f t="shared" si="221"/>
        <v>1.3636739375898901</v>
      </c>
      <c r="V265" s="4">
        <f t="shared" si="222"/>
        <v>0.74761406943655306</v>
      </c>
      <c r="W265" t="str">
        <f t="shared" si="209"/>
        <v>1-0,073788858085542i</v>
      </c>
      <c r="X265" s="4">
        <f t="shared" si="223"/>
        <v>1.0027187021181805</v>
      </c>
      <c r="Y265" s="4">
        <f t="shared" si="224"/>
        <v>-7.3655372147730686E-2</v>
      </c>
      <c r="Z265" t="str">
        <f t="shared" si="210"/>
        <v>0,999965161456402+0,0101379922935241i</v>
      </c>
      <c r="AA265" s="4">
        <f t="shared" si="225"/>
        <v>1.000016551370162</v>
      </c>
      <c r="AB265" s="4">
        <f t="shared" si="226"/>
        <v>1.0137998159975868E-2</v>
      </c>
      <c r="AC265" s="47" t="str">
        <f t="shared" si="227"/>
        <v>0,633419626313826-0,787552332961666i</v>
      </c>
      <c r="AD265" s="20">
        <f t="shared" si="228"/>
        <v>9.2209818999304749E-2</v>
      </c>
      <c r="AE265" s="43">
        <f t="shared" si="229"/>
        <v>-51.190664790102254</v>
      </c>
      <c r="AF265" t="str">
        <f t="shared" si="211"/>
        <v>171,265703090588</v>
      </c>
      <c r="AG265" t="str">
        <f t="shared" si="212"/>
        <v>1+73,1981486699266i</v>
      </c>
      <c r="AH265">
        <f t="shared" si="230"/>
        <v>73.204979125088727</v>
      </c>
      <c r="AI265">
        <f t="shared" si="231"/>
        <v>1.5571356289151419</v>
      </c>
      <c r="AJ265" t="str">
        <f t="shared" si="213"/>
        <v>1+0,927149722570155i</v>
      </c>
      <c r="AK265">
        <f t="shared" si="232"/>
        <v>1.3636739375898901</v>
      </c>
      <c r="AL265">
        <f t="shared" si="233"/>
        <v>0.74761406943655306</v>
      </c>
      <c r="AM265" t="str">
        <f t="shared" si="214"/>
        <v>1-0,0233124493249154i</v>
      </c>
      <c r="AN265">
        <f t="shared" si="234"/>
        <v>1.0002716982367974</v>
      </c>
      <c r="AO265">
        <f t="shared" si="235"/>
        <v>-2.3308227493601379E-2</v>
      </c>
      <c r="AP265" s="41" t="str">
        <f t="shared" si="236"/>
        <v>2,14701223681409-2,36099482464332i</v>
      </c>
      <c r="AQ265">
        <f t="shared" si="237"/>
        <v>10.07916604124919</v>
      </c>
      <c r="AR265" s="43">
        <f t="shared" si="238"/>
        <v>-47.717631846285848</v>
      </c>
      <c r="AS265" t="str">
        <f t="shared" si="215"/>
        <v>-0,0000166666666666667</v>
      </c>
      <c r="AT265" t="str">
        <f t="shared" si="216"/>
        <v>0,0000614514836119498i</v>
      </c>
      <c r="AU265">
        <f t="shared" si="239"/>
        <v>6.1451483611949794E-5</v>
      </c>
      <c r="AV265">
        <f t="shared" si="240"/>
        <v>1.5707963267948966</v>
      </c>
      <c r="AW265" t="str">
        <f t="shared" si="217"/>
        <v>1+0,0206804186760368i</v>
      </c>
      <c r="AX265">
        <f t="shared" si="241"/>
        <v>1.0002138169994534</v>
      </c>
      <c r="AY265">
        <f t="shared" si="242"/>
        <v>2.0677471233803636E-2</v>
      </c>
      <c r="AZ265" t="str">
        <f t="shared" si="218"/>
        <v>1+4,89535053517042i</v>
      </c>
      <c r="BA265">
        <f t="shared" si="243"/>
        <v>4.9964444220058439</v>
      </c>
      <c r="BB265">
        <f t="shared" si="244"/>
        <v>1.3692931446906316</v>
      </c>
      <c r="BC265" s="41" t="str">
        <f t="shared" si="245"/>
        <v>-1,3215265994699+0,298546391983304i</v>
      </c>
      <c r="BD265">
        <f t="shared" si="246"/>
        <v>2.637691769063216</v>
      </c>
      <c r="BE265" s="43">
        <f t="shared" si="247"/>
        <v>167.26998627426937</v>
      </c>
      <c r="BF265" s="41" t="str">
        <f t="shared" si="248"/>
        <v>-0,601959977296266+1,22987650053082i</v>
      </c>
      <c r="BG265" s="20">
        <f t="shared" si="249"/>
        <v>2.7299015880625079</v>
      </c>
      <c r="BH265" s="43">
        <f t="shared" si="250"/>
        <v>116.07932148416718</v>
      </c>
      <c r="BI265" s="41" t="str">
        <f t="shared" si="255"/>
        <v>-2,13246729394867+3,76110021882177i</v>
      </c>
      <c r="BJ265" s="20">
        <f t="shared" si="251"/>
        <v>12.716857810312408</v>
      </c>
      <c r="BK265" s="43">
        <f t="shared" si="256"/>
        <v>119.55235442798352</v>
      </c>
      <c r="BL265">
        <f t="shared" si="252"/>
        <v>2.7299015880625079</v>
      </c>
      <c r="BM265" s="43">
        <f t="shared" si="253"/>
        <v>116.07932148416718</v>
      </c>
    </row>
    <row r="266" spans="14:65" x14ac:dyDescent="0.25">
      <c r="N266" s="9">
        <v>48</v>
      </c>
      <c r="O266" s="34">
        <f t="shared" si="254"/>
        <v>3019.9517204020176</v>
      </c>
      <c r="P266" s="33" t="str">
        <f t="shared" si="206"/>
        <v>54,631621870174</v>
      </c>
      <c r="Q266" s="4" t="str">
        <f t="shared" si="207"/>
        <v>1+75,6269033657338i</v>
      </c>
      <c r="R266" s="4">
        <f t="shared" si="219"/>
        <v>75.633514480619226</v>
      </c>
      <c r="S266" s="4">
        <f t="shared" si="220"/>
        <v>1.5575742896529507</v>
      </c>
      <c r="T266" s="4" t="str">
        <f t="shared" si="208"/>
        <v>1+0,948745813901085i</v>
      </c>
      <c r="U266" s="4">
        <f t="shared" si="221"/>
        <v>1.3784479023143501</v>
      </c>
      <c r="V266" s="4">
        <f t="shared" si="222"/>
        <v>0.75910311131887509</v>
      </c>
      <c r="W266" t="str">
        <f t="shared" si="209"/>
        <v>1-0,0755076213873342i</v>
      </c>
      <c r="X266" s="4">
        <f t="shared" si="223"/>
        <v>1.0028466487392642</v>
      </c>
      <c r="Y266" s="4">
        <f t="shared" si="224"/>
        <v>-7.5364610546905422E-2</v>
      </c>
      <c r="Z266" t="str">
        <f t="shared" si="210"/>
        <v>0,999963519566426+0,0103741364697595i</v>
      </c>
      <c r="AA266" s="4">
        <f t="shared" si="225"/>
        <v>1.0000173314353944</v>
      </c>
      <c r="AB266" s="4">
        <f t="shared" si="226"/>
        <v>1.0374142755645665E-2</v>
      </c>
      <c r="AC266" s="47" t="str">
        <f t="shared" si="227"/>
        <v>0,632948587773177-0,772252682960635i</v>
      </c>
      <c r="AD266" s="20">
        <f t="shared" si="228"/>
        <v>-1.3056601386471099E-2</v>
      </c>
      <c r="AE266" s="43">
        <f t="shared" si="229"/>
        <v>-50.661497286329777</v>
      </c>
      <c r="AF266" t="str">
        <f t="shared" si="211"/>
        <v>171,265703090588</v>
      </c>
      <c r="AG266" t="str">
        <f t="shared" si="212"/>
        <v>1+74,9031525818607i</v>
      </c>
      <c r="AH266">
        <f t="shared" si="230"/>
        <v>74.909827570896894</v>
      </c>
      <c r="AI266">
        <f t="shared" si="231"/>
        <v>1.557446546988752</v>
      </c>
      <c r="AJ266" t="str">
        <f t="shared" si="213"/>
        <v>1+0,948745813901085i</v>
      </c>
      <c r="AK266">
        <f t="shared" si="232"/>
        <v>1.3784479023143501</v>
      </c>
      <c r="AL266">
        <f t="shared" si="233"/>
        <v>0.75910311131887509</v>
      </c>
      <c r="AM266" t="str">
        <f t="shared" si="214"/>
        <v>1-0,0238554660270861i</v>
      </c>
      <c r="AN266">
        <f t="shared" si="234"/>
        <v>1.0002845011592298</v>
      </c>
      <c r="AO266">
        <f t="shared" si="235"/>
        <v>-2.3850942322817467E-2</v>
      </c>
      <c r="AP266" s="41" t="str">
        <f t="shared" si="236"/>
        <v>2,14559187799098-2,30960010522061i</v>
      </c>
      <c r="AQ266">
        <f t="shared" si="237"/>
        <v>9.9729100184788262</v>
      </c>
      <c r="AR266" s="43">
        <f t="shared" si="238"/>
        <v>-47.108267798365347</v>
      </c>
      <c r="AS266" t="str">
        <f t="shared" si="215"/>
        <v>-0,0000166666666666667</v>
      </c>
      <c r="AT266" t="str">
        <f t="shared" si="216"/>
        <v>0,0000628828725453638i</v>
      </c>
      <c r="AU266">
        <f t="shared" si="239"/>
        <v>6.28828725453638E-5</v>
      </c>
      <c r="AV266">
        <f t="shared" si="240"/>
        <v>1.5707963267948966</v>
      </c>
      <c r="AW266" t="str">
        <f t="shared" si="217"/>
        <v>1+0,0211621275086205i</v>
      </c>
      <c r="AX266">
        <f t="shared" si="241"/>
        <v>1.0002238927563625</v>
      </c>
      <c r="AY266">
        <f t="shared" si="242"/>
        <v>2.1158969305546879E-2</v>
      </c>
      <c r="AZ266" t="str">
        <f t="shared" si="218"/>
        <v>1+5,00937789739773i</v>
      </c>
      <c r="BA266">
        <f t="shared" si="243"/>
        <v>5.1082156296437704</v>
      </c>
      <c r="BB266">
        <f t="shared" si="244"/>
        <v>1.3737608059814315</v>
      </c>
      <c r="BC266" s="41" t="str">
        <f t="shared" si="245"/>
        <v>-1,32149997480357+0,293008774483401i</v>
      </c>
      <c r="BD266">
        <f t="shared" si="246"/>
        <v>2.629767484534371</v>
      </c>
      <c r="BE266" s="43">
        <f t="shared" si="247"/>
        <v>167.49837660317155</v>
      </c>
      <c r="BF266" s="41" t="str">
        <f t="shared" si="248"/>
        <v>-0,610164730568395+1,20599139108889i</v>
      </c>
      <c r="BG266" s="20">
        <f t="shared" si="249"/>
        <v>2.6167108831479209</v>
      </c>
      <c r="BH266" s="43">
        <f t="shared" si="250"/>
        <v>116.83687931684176</v>
      </c>
      <c r="BI266" s="41" t="str">
        <f t="shared" si="255"/>
        <v>-2,1586665163264+3,68081372756703i</v>
      </c>
      <c r="BJ266" s="20">
        <f t="shared" si="251"/>
        <v>12.602677503013188</v>
      </c>
      <c r="BK266" s="43">
        <f t="shared" si="256"/>
        <v>120.39010880480625</v>
      </c>
      <c r="BL266">
        <f t="shared" si="252"/>
        <v>2.6167108831479209</v>
      </c>
      <c r="BM266" s="43">
        <f t="shared" si="253"/>
        <v>116.83687931684176</v>
      </c>
    </row>
    <row r="267" spans="14:65" x14ac:dyDescent="0.25">
      <c r="N267" s="9">
        <v>49</v>
      </c>
      <c r="O267" s="34">
        <f t="shared" si="254"/>
        <v>3090.295432513592</v>
      </c>
      <c r="P267" s="33" t="str">
        <f t="shared" si="206"/>
        <v>54,631621870174</v>
      </c>
      <c r="Q267" s="4" t="str">
        <f t="shared" si="207"/>
        <v>1+77,3884802420491i</v>
      </c>
      <c r="R267" s="4">
        <f t="shared" si="219"/>
        <v>77.394940882295558</v>
      </c>
      <c r="S267" s="4">
        <f t="shared" si="220"/>
        <v>1.5578752260750166</v>
      </c>
      <c r="T267" s="4" t="str">
        <f t="shared" si="208"/>
        <v>1+0,97084494282068i</v>
      </c>
      <c r="U267" s="4">
        <f t="shared" si="221"/>
        <v>1.3937503015248067</v>
      </c>
      <c r="V267" s="4">
        <f t="shared" si="222"/>
        <v>0.77060606581553648</v>
      </c>
      <c r="W267" t="str">
        <f t="shared" si="209"/>
        <v>1-0,0772664198294474i</v>
      </c>
      <c r="X267" s="4">
        <f t="shared" si="223"/>
        <v>1.0029806078051859</v>
      </c>
      <c r="Y267" s="4">
        <f t="shared" si="224"/>
        <v>-7.7113205537316709E-2</v>
      </c>
      <c r="Z267" t="str">
        <f t="shared" si="210"/>
        <v>0,999961800296559+0,0106157811504691i</v>
      </c>
      <c r="AA267" s="4">
        <f t="shared" si="225"/>
        <v>1.0000181482662052</v>
      </c>
      <c r="AB267" s="4">
        <f t="shared" si="226"/>
        <v>1.0615787885771446E-2</v>
      </c>
      <c r="AC267" s="47" t="str">
        <f t="shared" si="227"/>
        <v>0,632496331373464-0,7573619454177i</v>
      </c>
      <c r="AD267" s="20">
        <f t="shared" si="228"/>
        <v>-0.11597700271312043</v>
      </c>
      <c r="AE267" s="43">
        <f t="shared" si="229"/>
        <v>-50.133701287750576</v>
      </c>
      <c r="AF267" t="str">
        <f t="shared" si="211"/>
        <v>171,265703090588</v>
      </c>
      <c r="AG267" t="str">
        <f t="shared" si="212"/>
        <v>1+76,6478711367541i</v>
      </c>
      <c r="AH267">
        <f t="shared" si="230"/>
        <v>76.654394197570056</v>
      </c>
      <c r="AI267">
        <f t="shared" si="231"/>
        <v>1.5577503901971497</v>
      </c>
      <c r="AJ267" t="str">
        <f t="shared" si="213"/>
        <v>1+0,97084494282068i</v>
      </c>
      <c r="AK267">
        <f t="shared" si="232"/>
        <v>1.3937503015248067</v>
      </c>
      <c r="AL267">
        <f t="shared" si="233"/>
        <v>0.77060606581553648</v>
      </c>
      <c r="AM267" t="str">
        <f t="shared" si="214"/>
        <v>1-0,0244111312131088i</v>
      </c>
      <c r="AN267">
        <f t="shared" si="234"/>
        <v>1.0002979072891753</v>
      </c>
      <c r="AO267">
        <f t="shared" si="235"/>
        <v>-2.4406284054617446E-2</v>
      </c>
      <c r="AP267" s="41" t="str">
        <f t="shared" si="236"/>
        <v>2,14423542357374-2,25942825926737i</v>
      </c>
      <c r="AQ267">
        <f t="shared" si="237"/>
        <v>9.8689536122479158</v>
      </c>
      <c r="AR267" s="43">
        <f t="shared" si="238"/>
        <v>-46.498424724670059</v>
      </c>
      <c r="AS267" t="str">
        <f t="shared" si="215"/>
        <v>-0,0000166666666666667</v>
      </c>
      <c r="AT267" t="str">
        <f t="shared" si="216"/>
        <v>0,0000643476028101546i</v>
      </c>
      <c r="AU267">
        <f t="shared" si="239"/>
        <v>6.4347602810154602E-5</v>
      </c>
      <c r="AV267">
        <f t="shared" si="240"/>
        <v>1.5707963267948966</v>
      </c>
      <c r="AW267" t="str">
        <f t="shared" si="217"/>
        <v>1+0,0216550567813231i</v>
      </c>
      <c r="AX267">
        <f t="shared" si="241"/>
        <v>1.0002344432602801</v>
      </c>
      <c r="AY267">
        <f t="shared" si="242"/>
        <v>2.1651672748597573E-2</v>
      </c>
      <c r="AZ267" t="str">
        <f t="shared" si="218"/>
        <v>1+5,12606129809319i</v>
      </c>
      <c r="BA267">
        <f t="shared" si="243"/>
        <v>5.2226913016000518</v>
      </c>
      <c r="BB267">
        <f t="shared" si="244"/>
        <v>1.3781344847690864</v>
      </c>
      <c r="BC267" s="41" t="str">
        <f t="shared" si="245"/>
        <v>-1,3214720965052+0,287626461017269i</v>
      </c>
      <c r="BD267">
        <f t="shared" si="246"/>
        <v>2.6221785676074374</v>
      </c>
      <c r="BE267" s="43">
        <f t="shared" si="247"/>
        <v>167.72074011081187</v>
      </c>
      <c r="BF267" s="41" t="str">
        <f t="shared" si="248"/>
        <v>-0,617988916982292+1,18275535922374i</v>
      </c>
      <c r="BG267" s="20">
        <f t="shared" si="249"/>
        <v>2.5062015648943166</v>
      </c>
      <c r="BH267" s="43">
        <f t="shared" si="250"/>
        <v>117.58703882306131</v>
      </c>
      <c r="BI267" s="41" t="str">
        <f t="shared" si="255"/>
        <v>-2,18367592645522+3,60251024514753i</v>
      </c>
      <c r="BJ267" s="20">
        <f t="shared" si="251"/>
        <v>12.491132179855352</v>
      </c>
      <c r="BK267" s="43">
        <f t="shared" si="256"/>
        <v>121.22231538614174</v>
      </c>
      <c r="BL267">
        <f t="shared" si="252"/>
        <v>2.5062015648943166</v>
      </c>
      <c r="BM267" s="43">
        <f t="shared" si="253"/>
        <v>117.58703882306131</v>
      </c>
    </row>
    <row r="268" spans="14:65" x14ac:dyDescent="0.25">
      <c r="N268" s="9">
        <v>50</v>
      </c>
      <c r="O268" s="34">
        <f t="shared" si="254"/>
        <v>3162.2776601683804</v>
      </c>
      <c r="P268" s="33" t="str">
        <f t="shared" si="206"/>
        <v>54,631621870174</v>
      </c>
      <c r="Q268" s="4" t="str">
        <f t="shared" si="207"/>
        <v>1+79,1910895149463i</v>
      </c>
      <c r="R268" s="4">
        <f t="shared" si="219"/>
        <v>79.197403104926607</v>
      </c>
      <c r="S268" s="4">
        <f t="shared" si="220"/>
        <v>1.5581693146093809</v>
      </c>
      <c r="T268" s="4" t="str">
        <f t="shared" si="208"/>
        <v>1+0,99345882657961i</v>
      </c>
      <c r="U268" s="4">
        <f t="shared" si="221"/>
        <v>1.4095958428247921</v>
      </c>
      <c r="V268" s="4">
        <f t="shared" si="222"/>
        <v>0.78211685662705388</v>
      </c>
      <c r="W268" t="str">
        <f t="shared" si="209"/>
        <v>1-0,0790661859500961i</v>
      </c>
      <c r="X268" s="4">
        <f t="shared" si="223"/>
        <v>1.0031208609936766</v>
      </c>
      <c r="Y268" s="4">
        <f t="shared" si="224"/>
        <v>-7.8902041451441168E-2</v>
      </c>
      <c r="Z268" t="str">
        <f t="shared" si="210"/>
        <v>0,99996+0,0108630544588611i</v>
      </c>
      <c r="AA268" s="4">
        <f t="shared" si="225"/>
        <v>1.0000190035955197</v>
      </c>
      <c r="AB268" s="4">
        <f t="shared" si="226"/>
        <v>1.0863061675703733E-2</v>
      </c>
      <c r="AC268" s="47" t="str">
        <f t="shared" si="227"/>
        <v>0,632061898754538-0,74287225921464i</v>
      </c>
      <c r="AD268" s="20">
        <f t="shared" si="228"/>
        <v>-0.21654456319278007</v>
      </c>
      <c r="AE268" s="43">
        <f t="shared" si="229"/>
        <v>-49.607692079883009</v>
      </c>
      <c r="AF268" t="str">
        <f t="shared" si="211"/>
        <v>171,265703090588</v>
      </c>
      <c r="AG268" t="str">
        <f t="shared" si="212"/>
        <v>1+78,4332294074786i</v>
      </c>
      <c r="AH268">
        <f t="shared" si="230"/>
        <v>78.439603997509877</v>
      </c>
      <c r="AI268">
        <f t="shared" si="231"/>
        <v>1.5580473194174886</v>
      </c>
      <c r="AJ268" t="str">
        <f t="shared" si="213"/>
        <v>1+0,99345882657961i</v>
      </c>
      <c r="AK268">
        <f t="shared" si="232"/>
        <v>1.4095958428247921</v>
      </c>
      <c r="AL268">
        <f t="shared" si="233"/>
        <v>0.78211685662705388</v>
      </c>
      <c r="AM268" t="str">
        <f t="shared" si="214"/>
        <v>1-0,0249797395040202i</v>
      </c>
      <c r="AN268">
        <f t="shared" si="234"/>
        <v>1.0003119450379911</v>
      </c>
      <c r="AO268">
        <f t="shared" si="235"/>
        <v>-2.4974545767594419E-2</v>
      </c>
      <c r="AP268" s="41" t="str">
        <f t="shared" si="236"/>
        <v>2,14293999934949-2,2104527989085i</v>
      </c>
      <c r="AQ268">
        <f t="shared" si="237"/>
        <v>9.7673014891052681</v>
      </c>
      <c r="AR268" s="43">
        <f t="shared" si="238"/>
        <v>-45.88847678126406</v>
      </c>
      <c r="AS268" t="str">
        <f t="shared" si="215"/>
        <v>-0,0000166666666666667</v>
      </c>
      <c r="AT268" t="str">
        <f t="shared" si="216"/>
        <v>0,0000658464510256966i</v>
      </c>
      <c r="AU268">
        <f t="shared" si="239"/>
        <v>6.5846451025696601E-5</v>
      </c>
      <c r="AV268">
        <f t="shared" si="240"/>
        <v>1.5707963267948966</v>
      </c>
      <c r="AW268" t="str">
        <f t="shared" si="217"/>
        <v>1+0,0221594678517697i</v>
      </c>
      <c r="AX268">
        <f t="shared" si="241"/>
        <v>1.0002454908748519</v>
      </c>
      <c r="AY268">
        <f t="shared" si="242"/>
        <v>2.2155841843437971E-2</v>
      </c>
      <c r="AZ268" t="str">
        <f t="shared" si="218"/>
        <v>1+5,24546260434034i</v>
      </c>
      <c r="BA268">
        <f t="shared" si="243"/>
        <v>5.339932390352236</v>
      </c>
      <c r="BB268">
        <f t="shared" si="244"/>
        <v>1.3824158304004033</v>
      </c>
      <c r="BC268" s="41" t="str">
        <f t="shared" si="245"/>
        <v>-1,32144290560376+0,282396594017221i</v>
      </c>
      <c r="BD268">
        <f t="shared" si="246"/>
        <v>2.6149106665167188</v>
      </c>
      <c r="BE268" s="43">
        <f t="shared" si="247"/>
        <v>167.93715638482772</v>
      </c>
      <c r="BF268" s="41" t="str">
        <f t="shared" si="248"/>
        <v>-0,625449116219534+1,16015540412536i</v>
      </c>
      <c r="BG268" s="20">
        <f t="shared" si="249"/>
        <v>2.3983661033239252</v>
      </c>
      <c r="BH268" s="43">
        <f t="shared" si="250"/>
        <v>118.32946430494478</v>
      </c>
      <c r="BI268" s="41" t="str">
        <f t="shared" si="255"/>
        <v>-2,20754851762732+3,52614612628917i</v>
      </c>
      <c r="BJ268" s="20">
        <f t="shared" si="251"/>
        <v>12.382212155621986</v>
      </c>
      <c r="BK268" s="43">
        <f t="shared" si="256"/>
        <v>122.04867960356374</v>
      </c>
      <c r="BL268">
        <f t="shared" si="252"/>
        <v>2.3983661033239252</v>
      </c>
      <c r="BM268" s="43">
        <f t="shared" si="253"/>
        <v>118.32946430494478</v>
      </c>
    </row>
    <row r="269" spans="14:65" x14ac:dyDescent="0.25">
      <c r="N269" s="9">
        <v>51</v>
      </c>
      <c r="O269" s="34">
        <f t="shared" si="254"/>
        <v>3235.9365692962833</v>
      </c>
      <c r="P269" s="33" t="str">
        <f t="shared" si="206"/>
        <v>54,631621870174</v>
      </c>
      <c r="Q269" s="4" t="str">
        <f t="shared" si="207"/>
        <v>1+81,0356869517224i</v>
      </c>
      <c r="R269" s="4">
        <f t="shared" si="219"/>
        <v>81.041856837917706</v>
      </c>
      <c r="S269" s="4">
        <f t="shared" si="220"/>
        <v>1.5584567109820795</v>
      </c>
      <c r="T269" s="4" t="str">
        <f t="shared" si="208"/>
        <v>1+1,01659945535838i</v>
      </c>
      <c r="U269" s="4">
        <f t="shared" si="221"/>
        <v>1.425999457445533</v>
      </c>
      <c r="V269" s="4">
        <f t="shared" si="222"/>
        <v>0.7936293867198293</v>
      </c>
      <c r="W269" t="str">
        <f t="shared" si="209"/>
        <v>1-0,0809078740091003i</v>
      </c>
      <c r="X269" s="4">
        <f t="shared" si="223"/>
        <v>1.0032677030965726</v>
      </c>
      <c r="Y269" s="4">
        <f t="shared" si="224"/>
        <v>-8.0732020934929774E-2</v>
      </c>
      <c r="Z269" t="str">
        <f t="shared" si="210"/>
        <v>0,999958114858078+0,0111160875025168i</v>
      </c>
      <c r="AA269" s="4">
        <f t="shared" si="225"/>
        <v>1.0000198992379523</v>
      </c>
      <c r="AB269" s="4">
        <f t="shared" si="226"/>
        <v>1.1116095235319153E-2</v>
      </c>
      <c r="AC269" s="47" t="str">
        <f t="shared" si="227"/>
        <v>0,631644369282714-0,728775973434042i</v>
      </c>
      <c r="AD269" s="20">
        <f t="shared" si="228"/>
        <v>-0.31475478517957167</v>
      </c>
      <c r="AE269" s="43">
        <f t="shared" si="229"/>
        <v>-49.08388714929314</v>
      </c>
      <c r="AF269" t="str">
        <f t="shared" si="211"/>
        <v>171,265703090588</v>
      </c>
      <c r="AG269" t="str">
        <f t="shared" si="212"/>
        <v>1+80,2601740146216i</v>
      </c>
      <c r="AH269">
        <f t="shared" si="230"/>
        <v>80.266403512661142</v>
      </c>
      <c r="AI269">
        <f t="shared" si="231"/>
        <v>1.5583374918760169</v>
      </c>
      <c r="AJ269" t="str">
        <f t="shared" si="213"/>
        <v>1+1,01659945535838i</v>
      </c>
      <c r="AK269">
        <f t="shared" si="232"/>
        <v>1.425999457445533</v>
      </c>
      <c r="AL269">
        <f t="shared" si="233"/>
        <v>0.7936293867198293</v>
      </c>
      <c r="AM269" t="str">
        <f t="shared" si="214"/>
        <v>1-0,0255615923834626i</v>
      </c>
      <c r="AN269">
        <f t="shared" si="234"/>
        <v>1.0003266441543874</v>
      </c>
      <c r="AO269">
        <f t="shared" si="235"/>
        <v>-2.5556027292758632E-2</v>
      </c>
      <c r="AP269" s="41" t="str">
        <f t="shared" si="236"/>
        <v>2,14170286029392-2,16264786301009i</v>
      </c>
      <c r="AQ269">
        <f t="shared" si="237"/>
        <v>9.6679558925041178</v>
      </c>
      <c r="AR269" s="43">
        <f t="shared" si="238"/>
        <v>-45.278799489892158</v>
      </c>
      <c r="AS269" t="str">
        <f t="shared" si="215"/>
        <v>-0,0000166666666666667</v>
      </c>
      <c r="AT269" t="str">
        <f t="shared" si="216"/>
        <v>0,0000673802119011532i</v>
      </c>
      <c r="AU269">
        <f t="shared" si="239"/>
        <v>6.7380211901153195E-5</v>
      </c>
      <c r="AV269">
        <f t="shared" si="240"/>
        <v>1.5707963267948966</v>
      </c>
      <c r="AW269" t="str">
        <f t="shared" si="217"/>
        <v>1+0,0226756281653866i</v>
      </c>
      <c r="AX269">
        <f t="shared" si="241"/>
        <v>1.0002570590166784</v>
      </c>
      <c r="AY269">
        <f t="shared" si="242"/>
        <v>2.2671742881384294E-2</v>
      </c>
      <c r="AZ269" t="str">
        <f t="shared" si="218"/>
        <v>1+5,36764512429222i</v>
      </c>
      <c r="BA269">
        <f t="shared" si="243"/>
        <v>5.4600012985655999</v>
      </c>
      <c r="BB269">
        <f t="shared" si="244"/>
        <v>1.3866064847846156</v>
      </c>
      <c r="BC269" s="41" t="str">
        <f t="shared" si="245"/>
        <v>-1,32141234035973+0,277316396473799i</v>
      </c>
      <c r="BD269">
        <f t="shared" si="246"/>
        <v>2.6079499640604906</v>
      </c>
      <c r="BE269" s="43">
        <f t="shared" si="247"/>
        <v>168.14770424232037</v>
      </c>
      <c r="BF269" s="41" t="str">
        <f t="shared" si="248"/>
        <v>-0,632561137499503+1,13817890499587i</v>
      </c>
      <c r="BG269" s="20">
        <f t="shared" si="249"/>
        <v>2.2931951788809428</v>
      </c>
      <c r="BH269" s="43">
        <f t="shared" si="250"/>
        <v>119.06381709302718</v>
      </c>
      <c r="BI269" s="41" t="str">
        <f t="shared" si="255"/>
        <v>-2,2303348767644+3,45167889356847i</v>
      </c>
      <c r="BJ269" s="20">
        <f t="shared" si="251"/>
        <v>12.275905856564613</v>
      </c>
      <c r="BK269" s="43">
        <f t="shared" si="256"/>
        <v>122.86890475242828</v>
      </c>
      <c r="BL269">
        <f t="shared" si="252"/>
        <v>2.2931951788809428</v>
      </c>
      <c r="BM269" s="43">
        <f t="shared" si="253"/>
        <v>119.06381709302718</v>
      </c>
    </row>
    <row r="270" spans="14:65" x14ac:dyDescent="0.25">
      <c r="N270" s="9">
        <v>52</v>
      </c>
      <c r="O270" s="34">
        <f t="shared" si="254"/>
        <v>3311.3112148259115</v>
      </c>
      <c r="P270" s="33" t="str">
        <f t="shared" si="206"/>
        <v>54,631621870174</v>
      </c>
      <c r="Q270" s="4" t="str">
        <f t="shared" si="207"/>
        <v>1+82,9232505823547i</v>
      </c>
      <c r="R270" s="4">
        <f t="shared" si="219"/>
        <v>82.929280035123838</v>
      </c>
      <c r="S270" s="4">
        <f t="shared" si="220"/>
        <v>1.5587375673844603</v>
      </c>
      <c r="T270" s="4" t="str">
        <f t="shared" si="208"/>
        <v>1+1,04027909862466i</v>
      </c>
      <c r="U270" s="4">
        <f t="shared" si="221"/>
        <v>1.4429763002334219</v>
      </c>
      <c r="V270" s="4">
        <f t="shared" si="222"/>
        <v>0.80513755445369706</v>
      </c>
      <c r="W270" t="str">
        <f t="shared" si="209"/>
        <v>1-0,0827924604938468i</v>
      </c>
      <c r="X270" s="4">
        <f t="shared" si="223"/>
        <v>1.003421442622503</v>
      </c>
      <c r="Y270" s="4">
        <f t="shared" si="224"/>
        <v>-8.2604065213536512E-2</v>
      </c>
      <c r="Z270" t="str">
        <f t="shared" si="210"/>
        <v>0,999956140872154+0,0113750144429052i</v>
      </c>
      <c r="AA270" s="4">
        <f t="shared" si="225"/>
        <v>1.0000208370936614</v>
      </c>
      <c r="AB270" s="4">
        <f t="shared" si="226"/>
        <v>1.1375022728545925E-2</v>
      </c>
      <c r="AC270" s="47" t="str">
        <f>(IMDIV(IMPRODUCT(P270,T270,W270),IMPRODUCT(Q270,Z270)))</f>
        <v>0,631242858105228-0,715065643453811i</v>
      </c>
      <c r="AD270" s="20">
        <f t="shared" si="228"/>
        <v>-0.410605498187605</v>
      </c>
      <c r="AE270" s="43">
        <f t="shared" si="229"/>
        <v>-48.562705283507171</v>
      </c>
      <c r="AF270" t="str">
        <f t="shared" si="211"/>
        <v>171,265703090588</v>
      </c>
      <c r="AG270" t="str">
        <f t="shared" si="212"/>
        <v>1+82,1296736283964i</v>
      </c>
      <c r="AH270">
        <f t="shared" si="230"/>
        <v>82.135761336380824</v>
      </c>
      <c r="AI270">
        <f t="shared" si="231"/>
        <v>1.5586210612304408</v>
      </c>
      <c r="AJ270" t="str">
        <f t="shared" si="213"/>
        <v>1+1,04027909862466i</v>
      </c>
      <c r="AK270">
        <f t="shared" si="232"/>
        <v>1.4429763002334219</v>
      </c>
      <c r="AL270">
        <f t="shared" si="233"/>
        <v>0.80513755445369706</v>
      </c>
      <c r="AM270" t="str">
        <f t="shared" si="214"/>
        <v>1-0,0261569983575344i</v>
      </c>
      <c r="AN270">
        <f t="shared" si="234"/>
        <v>1.0003420357872981</v>
      </c>
      <c r="AO270">
        <f t="shared" si="235"/>
        <v>-2.6151035365522744E-2</v>
      </c>
      <c r="AP270" s="41" t="str">
        <f t="shared" si="236"/>
        <v>2,140521384772-2,1159882039742i</v>
      </c>
      <c r="AQ270">
        <f t="shared" si="237"/>
        <v>9.5709166353878246</v>
      </c>
      <c r="AR270" s="43">
        <f t="shared" si="238"/>
        <v>-44.669768827366106</v>
      </c>
      <c r="AS270" t="str">
        <f t="shared" si="215"/>
        <v>-0,0000166666666666667</v>
      </c>
      <c r="AT270" t="str">
        <f t="shared" si="216"/>
        <v>0,0000689496986568423i</v>
      </c>
      <c r="AU270">
        <f t="shared" si="239"/>
        <v>6.8949698656842307E-5</v>
      </c>
      <c r="AV270">
        <f t="shared" si="240"/>
        <v>1.5707963267948966</v>
      </c>
      <c r="AW270" t="str">
        <f t="shared" si="217"/>
        <v>1+0,0232038113972042i</v>
      </c>
      <c r="AX270">
        <f t="shared" si="241"/>
        <v>1.0002691722048407</v>
      </c>
      <c r="AY270">
        <f t="shared" si="242"/>
        <v>2.3199648300893421E-2</v>
      </c>
      <c r="AZ270" t="str">
        <f t="shared" si="218"/>
        <v>1+5,4926736407382i</v>
      </c>
      <c r="BA270">
        <f t="shared" si="243"/>
        <v>5.5829619131479156</v>
      </c>
      <c r="BB270">
        <f t="shared" si="244"/>
        <v>1.3907080808194097</v>
      </c>
      <c r="BC270" s="41" t="str">
        <f t="shared" si="245"/>
        <v>-1,32138033613558+0,272383170444066i</v>
      </c>
      <c r="BD270">
        <f t="shared" si="246"/>
        <v>2.6012831602885562</v>
      </c>
      <c r="BE270" s="43">
        <f t="shared" si="247"/>
        <v>168.35246163186173</v>
      </c>
      <c r="BF270" s="41" t="str">
        <f t="shared" si="248"/>
        <v>-0,639340052986695+1,11681361131688i</v>
      </c>
      <c r="BG270" s="20">
        <f t="shared" si="249"/>
        <v>2.1906776621009687</v>
      </c>
      <c r="BH270" s="43">
        <f t="shared" si="250"/>
        <v>119.78975634835449</v>
      </c>
      <c r="BI270" s="41" t="str">
        <f t="shared" si="255"/>
        <v>-2,25208329129469+3,37906720541387i</v>
      </c>
      <c r="BJ270" s="20">
        <f t="shared" si="251"/>
        <v>12.172199795676388</v>
      </c>
      <c r="BK270" s="43">
        <f t="shared" si="256"/>
        <v>123.68269280449569</v>
      </c>
      <c r="BL270">
        <f t="shared" si="252"/>
        <v>2.1906776621009687</v>
      </c>
      <c r="BM270" s="43">
        <f t="shared" si="253"/>
        <v>119.78975634835449</v>
      </c>
    </row>
    <row r="271" spans="14:65" x14ac:dyDescent="0.25">
      <c r="N271" s="9">
        <v>53</v>
      </c>
      <c r="O271" s="34">
        <f t="shared" si="254"/>
        <v>3388.4415613920314</v>
      </c>
      <c r="P271" s="33" t="str">
        <f t="shared" si="206"/>
        <v>54,631621870174</v>
      </c>
      <c r="Q271" s="4" t="str">
        <f t="shared" si="207"/>
        <v>1+84,8547812180646i</v>
      </c>
      <c r="R271" s="4">
        <f t="shared" si="219"/>
        <v>84.860673433373179</v>
      </c>
      <c r="S271" s="4">
        <f t="shared" si="220"/>
        <v>1.5590120325529715</v>
      </c>
      <c r="T271" s="4" t="str">
        <f t="shared" si="208"/>
        <v>1+1,06451031163876i</v>
      </c>
      <c r="U271" s="4">
        <f t="shared" si="221"/>
        <v>1.4605417500315592</v>
      </c>
      <c r="V271" s="4">
        <f t="shared" si="222"/>
        <v>0.81663526973923806</v>
      </c>
      <c r="W271" t="str">
        <f t="shared" si="209"/>
        <v>1-0,0847209446370347i</v>
      </c>
      <c r="X271" s="4">
        <f t="shared" si="223"/>
        <v>1.003582402426523</v>
      </c>
      <c r="Y271" s="4">
        <f t="shared" si="224"/>
        <v>-8.4519114355305375E-2</v>
      </c>
      <c r="Z271" t="str">
        <f t="shared" si="210"/>
        <v>0,99995407385514+0,0116399725665172i</v>
      </c>
      <c r="AA271" s="4">
        <f t="shared" si="225"/>
        <v>1.0000218191523822</v>
      </c>
      <c r="AB271" s="4">
        <f t="shared" si="226"/>
        <v>1.163998144450974E-2</v>
      </c>
      <c r="AC271" s="47" t="str">
        <f t="shared" si="227"/>
        <v>0,630856514280026-0,701734027140143i</v>
      </c>
      <c r="AD271" s="20">
        <f t="shared" si="228"/>
        <v>-0.50409685137819593</v>
      </c>
      <c r="AE271" s="43">
        <f t="shared" si="229"/>
        <v>-48.044565668935093</v>
      </c>
      <c r="AF271" t="str">
        <f t="shared" si="211"/>
        <v>171,265703090588</v>
      </c>
      <c r="AG271" t="str">
        <f t="shared" si="212"/>
        <v>1+84,0427194822436i</v>
      </c>
      <c r="AH271">
        <f t="shared" si="230"/>
        <v>84.048668626999003</v>
      </c>
      <c r="AI271">
        <f t="shared" si="231"/>
        <v>1.558898177650462</v>
      </c>
      <c r="AJ271" t="str">
        <f t="shared" si="213"/>
        <v>1+1,06451031163876i</v>
      </c>
      <c r="AK271">
        <f t="shared" si="232"/>
        <v>1.4605417500315592</v>
      </c>
      <c r="AL271">
        <f t="shared" si="233"/>
        <v>0.81663526973923806</v>
      </c>
      <c r="AM271" t="str">
        <f t="shared" si="214"/>
        <v>1-0,0267662731183642i</v>
      </c>
      <c r="AN271">
        <f t="shared" si="234"/>
        <v>1.0003581525516982</v>
      </c>
      <c r="AO271">
        <f t="shared" si="235"/>
        <v>-2.6759883780850046E-2</v>
      </c>
      <c r="AP271" s="41" t="str">
        <f t="shared" si="236"/>
        <v>2,13939306899838-2,07044917482522i</v>
      </c>
      <c r="AQ271">
        <f t="shared" si="237"/>
        <v>9.4761811031234764</v>
      </c>
      <c r="AR271" s="43">
        <f t="shared" si="238"/>
        <v>-44.061760313324029</v>
      </c>
      <c r="AS271" t="str">
        <f t="shared" si="215"/>
        <v>-0,0000166666666666667</v>
      </c>
      <c r="AT271" t="str">
        <f t="shared" si="216"/>
        <v>0,0000705557434554166i</v>
      </c>
      <c r="AU271">
        <f t="shared" si="239"/>
        <v>7.0555743455416606E-5</v>
      </c>
      <c r="AV271">
        <f t="shared" si="240"/>
        <v>1.5707963267948966</v>
      </c>
      <c r="AW271" t="str">
        <f t="shared" si="217"/>
        <v>1+0,0237442975969634i</v>
      </c>
      <c r="AX271">
        <f t="shared" si="241"/>
        <v>1.0002818561127524</v>
      </c>
      <c r="AY271">
        <f t="shared" si="242"/>
        <v>2.3739836826781057E-2</v>
      </c>
      <c r="AZ271" t="str">
        <f t="shared" si="218"/>
        <v>1+5,62061444545262i</v>
      </c>
      <c r="BA271">
        <f t="shared" si="243"/>
        <v>5.7088796400371464</v>
      </c>
      <c r="BB271">
        <f t="shared" si="244"/>
        <v>1.3947222409424782</v>
      </c>
      <c r="BC271" s="41" t="str">
        <f t="shared" si="245"/>
        <v>-1,32134682526035+0,267594295600412i</v>
      </c>
      <c r="BD271">
        <f t="shared" si="246"/>
        <v>2.5948974553405972</v>
      </c>
      <c r="BE271" s="43">
        <f t="shared" si="247"/>
        <v>168.55150554252853</v>
      </c>
      <c r="BF271" s="41" t="str">
        <f t="shared" si="248"/>
        <v>-0,645800229647316+1,09604763350248i</v>
      </c>
      <c r="BG271" s="20">
        <f t="shared" si="249"/>
        <v>2.0908006039623812</v>
      </c>
      <c r="BH271" s="43">
        <f t="shared" si="250"/>
        <v>120.50693987359351</v>
      </c>
      <c r="BI271" s="41" t="str">
        <f t="shared" si="255"/>
        <v>-2,2728398511912+3,30827082532924i</v>
      </c>
      <c r="BJ271" s="20">
        <f t="shared" si="251"/>
        <v>12.071078558464075</v>
      </c>
      <c r="BK271" s="43">
        <f t="shared" si="256"/>
        <v>124.48974522920453</v>
      </c>
      <c r="BL271">
        <f t="shared" si="252"/>
        <v>2.0908006039623812</v>
      </c>
      <c r="BM271" s="43">
        <f t="shared" si="253"/>
        <v>120.50693987359351</v>
      </c>
    </row>
    <row r="272" spans="14:65" x14ac:dyDescent="0.25">
      <c r="N272" s="9">
        <v>54</v>
      </c>
      <c r="O272" s="34">
        <f t="shared" si="254"/>
        <v>3467.3685045253224</v>
      </c>
      <c r="P272" s="33" t="str">
        <f t="shared" si="206"/>
        <v>54,631621870174</v>
      </c>
      <c r="Q272" s="4" t="str">
        <f t="shared" si="207"/>
        <v>1+86,8313029819621i</v>
      </c>
      <c r="R272" s="4">
        <f t="shared" si="219"/>
        <v>86.837061083072697</v>
      </c>
      <c r="S272" s="4">
        <f t="shared" si="220"/>
        <v>1.5592802518471771</v>
      </c>
      <c r="T272" s="4" t="str">
        <f t="shared" si="208"/>
        <v>1+1,08930594211054i</v>
      </c>
      <c r="U272" s="4">
        <f t="shared" si="221"/>
        <v>1.4787114104913546</v>
      </c>
      <c r="V272" s="4">
        <f t="shared" si="222"/>
        <v>0.82811647012051381</v>
      </c>
      <c r="W272" t="str">
        <f t="shared" si="209"/>
        <v>1-0,0866943489464833i</v>
      </c>
      <c r="X272" s="4">
        <f t="shared" si="223"/>
        <v>1.0037509203678243</v>
      </c>
      <c r="Y272" s="4">
        <f t="shared" si="224"/>
        <v>-8.6478127527179927E-2</v>
      </c>
      <c r="Z272" t="str">
        <f t="shared" si="210"/>
        <v>0,999951909422615+0,0119111023576573i</v>
      </c>
      <c r="AA272" s="4">
        <f t="shared" si="225"/>
        <v>1.00002284749765</v>
      </c>
      <c r="AB272" s="4">
        <f t="shared" si="226"/>
        <v>1.191111187033801E-2</v>
      </c>
      <c r="AC272" s="47" t="str">
        <f t="shared" si="227"/>
        <v>0,630484518976833-0,688774081137617i</v>
      </c>
      <c r="AD272" s="20">
        <f t="shared" si="228"/>
        <v>-0.59523129552928755</v>
      </c>
      <c r="AE272" s="43">
        <f t="shared" si="229"/>
        <v>-47.529886992742398</v>
      </c>
      <c r="AF272" t="str">
        <f t="shared" si="211"/>
        <v>171,265703090588</v>
      </c>
      <c r="AG272" t="str">
        <f t="shared" si="212"/>
        <v>1+86,0003258983971i</v>
      </c>
      <c r="AH272">
        <f t="shared" si="230"/>
        <v>86.006139633345427</v>
      </c>
      <c r="AI272">
        <f t="shared" si="231"/>
        <v>1.5591689878965311</v>
      </c>
      <c r="AJ272" t="str">
        <f t="shared" si="213"/>
        <v>1+1,08930594211054i</v>
      </c>
      <c r="AK272">
        <f t="shared" si="232"/>
        <v>1.4787114104913546</v>
      </c>
      <c r="AL272">
        <f t="shared" si="233"/>
        <v>0.82811647012051381</v>
      </c>
      <c r="AM272" t="str">
        <f t="shared" si="214"/>
        <v>1-0,0273897397114948i</v>
      </c>
      <c r="AN272">
        <f t="shared" si="234"/>
        <v>1.0003750285975073</v>
      </c>
      <c r="AO272">
        <f t="shared" si="235"/>
        <v>-2.7382893551612046E-2</v>
      </c>
      <c r="AP272" s="41" t="str">
        <f t="shared" si="236"/>
        <v>2,13831552174584-2,02600671658308i</v>
      </c>
      <c r="AQ272">
        <f t="shared" si="237"/>
        <v>9.3837442667643636</v>
      </c>
      <c r="AR272" s="43">
        <f t="shared" si="238"/>
        <v>-43.455148102341653</v>
      </c>
      <c r="AS272" t="str">
        <f t="shared" si="215"/>
        <v>-0,0000166666666666667</v>
      </c>
      <c r="AT272" t="str">
        <f t="shared" si="216"/>
        <v>0,0000721991978430865i</v>
      </c>
      <c r="AU272">
        <f t="shared" si="239"/>
        <v>7.2199197843086495E-5</v>
      </c>
      <c r="AV272">
        <f t="shared" si="240"/>
        <v>1.5707963267948966</v>
      </c>
      <c r="AW272" t="str">
        <f t="shared" si="217"/>
        <v>1+0,0242973733376014i</v>
      </c>
      <c r="AX272">
        <f t="shared" si="241"/>
        <v>1.0002951376224454</v>
      </c>
      <c r="AY272">
        <f t="shared" si="242"/>
        <v>2.429259361239932E-2</v>
      </c>
      <c r="AZ272" t="str">
        <f t="shared" si="218"/>
        <v>1+5,75153537434365i</v>
      </c>
      <c r="BA272">
        <f t="shared" si="243"/>
        <v>5.8378214397432844</v>
      </c>
      <c r="BB272">
        <f t="shared" si="244"/>
        <v>1.3986505758023393</v>
      </c>
      <c r="BC272" s="41" t="str">
        <f t="shared" si="245"/>
        <v>-1,32131173688793+0,262947227819059i</v>
      </c>
      <c r="BD272">
        <f t="shared" si="246"/>
        <v>2.5887805324685438</v>
      </c>
      <c r="BE272" s="43">
        <f t="shared" si="247"/>
        <v>168.74491191959953</v>
      </c>
      <c r="BF272" s="41" t="str">
        <f t="shared" si="248"/>
        <v>-0,651955359621474+1,07586943391912i</v>
      </c>
      <c r="BG272" s="20">
        <f t="shared" si="249"/>
        <v>1.9935492369392327</v>
      </c>
      <c r="BH272" s="43">
        <f t="shared" si="250"/>
        <v>121.21502492685723</v>
      </c>
      <c r="BI272" s="41" t="str">
        <f t="shared" si="255"/>
        <v>-2,2926485463841+3,23925059228054i</v>
      </c>
      <c r="BJ272" s="20">
        <f t="shared" si="251"/>
        <v>11.972524799232914</v>
      </c>
      <c r="BK272" s="43">
        <f t="shared" si="256"/>
        <v>125.28976381725785</v>
      </c>
      <c r="BL272">
        <f t="shared" si="252"/>
        <v>1.9935492369392327</v>
      </c>
      <c r="BM272" s="43">
        <f t="shared" si="253"/>
        <v>121.21502492685723</v>
      </c>
    </row>
    <row r="273" spans="14:65" x14ac:dyDescent="0.25">
      <c r="N273" s="9">
        <v>55</v>
      </c>
      <c r="O273" s="34">
        <f t="shared" si="254"/>
        <v>3548.1338923357539</v>
      </c>
      <c r="P273" s="33" t="str">
        <f t="shared" si="206"/>
        <v>54,631621870174</v>
      </c>
      <c r="Q273" s="4" t="str">
        <f t="shared" si="207"/>
        <v>1+88,8538638520484i</v>
      </c>
      <c r="R273" s="4">
        <f t="shared" si="219"/>
        <v>88.859490891172427</v>
      </c>
      <c r="S273" s="4">
        <f t="shared" si="220"/>
        <v>1.5595423673260396</v>
      </c>
      <c r="T273" s="4" t="str">
        <f t="shared" si="208"/>
        <v>1+1,1146791370115i</v>
      </c>
      <c r="U273" s="4">
        <f t="shared" si="221"/>
        <v>1.497501111348069</v>
      </c>
      <c r="V273" s="4">
        <f t="shared" si="222"/>
        <v>0.83957513667994466</v>
      </c>
      <c r="W273" t="str">
        <f t="shared" si="209"/>
        <v>1-0,0887137197472783i</v>
      </c>
      <c r="X273" s="4">
        <f t="shared" si="223"/>
        <v>1.003927349996701</v>
      </c>
      <c r="Y273" s="4">
        <f t="shared" si="224"/>
        <v>-8.8482083245125909E-2</v>
      </c>
      <c r="Z273" t="str">
        <f t="shared" si="210"/>
        <v>0,999949642983528+0,0121885475729294i</v>
      </c>
      <c r="AA273" s="4">
        <f t="shared" si="225"/>
        <v>1.000023924311225</v>
      </c>
      <c r="AB273" s="4">
        <f t="shared" si="226"/>
        <v>1.2188557765659047E-2</v>
      </c>
      <c r="AC273" s="47" t="str">
        <f t="shared" si="227"/>
        <v>0,630126083745932-0,676178957255074i</v>
      </c>
      <c r="AD273" s="20">
        <f t="shared" si="228"/>
        <v>-0.68401355459031421</v>
      </c>
      <c r="AE273" s="43">
        <f t="shared" si="229"/>
        <v>-47.019086554537758</v>
      </c>
      <c r="AF273" t="str">
        <f t="shared" si="211"/>
        <v>171,265703090588</v>
      </c>
      <c r="AG273" t="str">
        <f t="shared" si="212"/>
        <v>1+88,0035308256904i</v>
      </c>
      <c r="AH273">
        <f t="shared" si="230"/>
        <v>88.009212232517129</v>
      </c>
      <c r="AI273">
        <f t="shared" si="231"/>
        <v>1.5594336353968483</v>
      </c>
      <c r="AJ273" t="str">
        <f t="shared" si="213"/>
        <v>1+1,1146791370115i</v>
      </c>
      <c r="AK273">
        <f t="shared" si="232"/>
        <v>1.497501111348069</v>
      </c>
      <c r="AL273">
        <f t="shared" si="233"/>
        <v>0.83957513667994466</v>
      </c>
      <c r="AM273" t="str">
        <f t="shared" si="214"/>
        <v>1-0,0280277287071664i</v>
      </c>
      <c r="AN273">
        <f t="shared" si="234"/>
        <v>1.0003926996817212</v>
      </c>
      <c r="AO273">
        <f t="shared" si="235"/>
        <v>-2.8020393070202095E-2</v>
      </c>
      <c r="AP273" s="41" t="str">
        <f t="shared" si="236"/>
        <v>2,1372864592909-1,98263734591886i</v>
      </c>
      <c r="AQ273">
        <f t="shared" si="237"/>
        <v>9.2935987065311174</v>
      </c>
      <c r="AR273" s="43">
        <f t="shared" si="238"/>
        <v>-42.850304086322559</v>
      </c>
      <c r="AS273" t="str">
        <f t="shared" si="215"/>
        <v>-0,0000166666666666667</v>
      </c>
      <c r="AT273" t="str">
        <f t="shared" si="216"/>
        <v>0,000073880933201122i</v>
      </c>
      <c r="AU273">
        <f t="shared" si="239"/>
        <v>7.3880933201122E-5</v>
      </c>
      <c r="AV273">
        <f t="shared" si="240"/>
        <v>1.5707963267948966</v>
      </c>
      <c r="AW273" t="str">
        <f t="shared" si="217"/>
        <v>1+0,0248633318671966i</v>
      </c>
      <c r="AX273">
        <f t="shared" si="241"/>
        <v>1.0003090448813998</v>
      </c>
      <c r="AY273">
        <f t="shared" si="242"/>
        <v>2.4858210384823529E-2</v>
      </c>
      <c r="AZ273" t="str">
        <f t="shared" si="218"/>
        <v>1+5,88550584342069i</v>
      </c>
      <c r="BA273">
        <f t="shared" si="243"/>
        <v>5.9698558636653107</v>
      </c>
      <c r="BB273">
        <f t="shared" si="244"/>
        <v>1.4024946830422798</v>
      </c>
      <c r="BC273" s="41" t="str">
        <f t="shared" si="245"/>
        <v>-1,32127499684875+0,258439497807384i</v>
      </c>
      <c r="BD273">
        <f t="shared" si="246"/>
        <v>2.5829205412727072</v>
      </c>
      <c r="BE273" s="43">
        <f t="shared" si="247"/>
        <v>168.93275558656208</v>
      </c>
      <c r="BF273" s="41" t="str">
        <f t="shared" si="248"/>
        <v>-0,6578184891748+1,05626781825502i</v>
      </c>
      <c r="BG273" s="20">
        <f t="shared" si="249"/>
        <v>1.8989069866823867</v>
      </c>
      <c r="BH273" s="43">
        <f t="shared" si="250"/>
        <v>121.91366903202434</v>
      </c>
      <c r="BI273" s="41" t="str">
        <f t="shared" si="255"/>
        <v>-2,31155135975103+3,17196839219082i</v>
      </c>
      <c r="BJ273" s="20">
        <f t="shared" si="251"/>
        <v>11.876519247803831</v>
      </c>
      <c r="BK273" s="43">
        <f t="shared" si="256"/>
        <v>126.08245150023954</v>
      </c>
      <c r="BL273">
        <f t="shared" si="252"/>
        <v>1.8989069866823867</v>
      </c>
      <c r="BM273" s="43">
        <f t="shared" si="253"/>
        <v>121.91366903202434</v>
      </c>
    </row>
    <row r="274" spans="14:65" x14ac:dyDescent="0.25">
      <c r="N274" s="9">
        <v>56</v>
      </c>
      <c r="O274" s="34">
        <f t="shared" si="254"/>
        <v>3630.7805477010188</v>
      </c>
      <c r="P274" s="33" t="str">
        <f t="shared" si="206"/>
        <v>54,631621870174</v>
      </c>
      <c r="Q274" s="4" t="str">
        <f t="shared" si="207"/>
        <v>1+90,9235362168696i</v>
      </c>
      <c r="R274" s="4">
        <f t="shared" si="219"/>
        <v>90.929035176781667</v>
      </c>
      <c r="S274" s="4">
        <f t="shared" si="220"/>
        <v>1.5597985178225047</v>
      </c>
      <c r="T274" s="4" t="str">
        <f t="shared" si="208"/>
        <v>1+1,14064334954542i</v>
      </c>
      <c r="U274" s="4">
        <f t="shared" si="221"/>
        <v>1.5169269101911915</v>
      </c>
      <c r="V274" s="4">
        <f t="shared" si="222"/>
        <v>0.85100530966396692</v>
      </c>
      <c r="W274" t="str">
        <f t="shared" si="209"/>
        <v>1-0,090780127736549i</v>
      </c>
      <c r="X274" s="4">
        <f t="shared" si="223"/>
        <v>1.0041120612719798</v>
      </c>
      <c r="Y274" s="4">
        <f t="shared" si="224"/>
        <v>-9.053197961679825E-2</v>
      </c>
      <c r="Z274" t="str">
        <f t="shared" si="210"/>
        <v>0,999947269730458+0,0124724553174593i</v>
      </c>
      <c r="AA274" s="4">
        <f t="shared" si="225"/>
        <v>1.0000250518777236</v>
      </c>
      <c r="AB274" s="4">
        <f t="shared" si="226"/>
        <v>1.2472466238838954E-2</v>
      </c>
      <c r="AC274" s="47" t="str">
        <f t="shared" si="227"/>
        <v>0,629780448850808-0,663941998945875i</v>
      </c>
      <c r="AD274" s="20">
        <f t="shared" si="228"/>
        <v>-0.77045058701959079</v>
      </c>
      <c r="AE274" s="43">
        <f t="shared" si="229"/>
        <v>-46.512579393633601</v>
      </c>
      <c r="AF274" t="str">
        <f t="shared" si="211"/>
        <v>171,265703090588</v>
      </c>
      <c r="AG274" t="str">
        <f t="shared" si="212"/>
        <v>1+90,0533963898926i</v>
      </c>
      <c r="AH274">
        <f t="shared" si="230"/>
        <v>90.05894848017671</v>
      </c>
      <c r="AI274">
        <f t="shared" si="231"/>
        <v>1.5596922603226522</v>
      </c>
      <c r="AJ274" t="str">
        <f t="shared" si="213"/>
        <v>1+1,14064334954542i</v>
      </c>
      <c r="AK274">
        <f t="shared" si="232"/>
        <v>1.5169269101911915</v>
      </c>
      <c r="AL274">
        <f t="shared" si="233"/>
        <v>0.85100530966396692</v>
      </c>
      <c r="AM274" t="str">
        <f t="shared" si="214"/>
        <v>1-0,0286805783755896i</v>
      </c>
      <c r="AN274">
        <f t="shared" si="234"/>
        <v>1.0004112032439252</v>
      </c>
      <c r="AO274">
        <f t="shared" si="235"/>
        <v>-2.8672718273449849E-2</v>
      </c>
      <c r="AP274" s="41" t="str">
        <f t="shared" si="236"/>
        <v>2,13630370058581-1,94031814308809i</v>
      </c>
      <c r="AQ274">
        <f t="shared" si="237"/>
        <v>9.2057346453090325</v>
      </c>
      <c r="AR274" s="43">
        <f t="shared" si="238"/>
        <v>-42.247597012974886</v>
      </c>
      <c r="AS274" t="str">
        <f t="shared" si="215"/>
        <v>-0,0000166666666666667</v>
      </c>
      <c r="AT274" t="str">
        <f t="shared" si="216"/>
        <v>0,0000756018412078708i</v>
      </c>
      <c r="AU274">
        <f t="shared" si="239"/>
        <v>7.56018412078708E-5</v>
      </c>
      <c r="AV274">
        <f t="shared" si="240"/>
        <v>1.5707963267948966</v>
      </c>
      <c r="AW274" t="str">
        <f t="shared" si="217"/>
        <v>1+0,0254424732644532i</v>
      </c>
      <c r="AX274">
        <f t="shared" si="241"/>
        <v>1.0003236073620438</v>
      </c>
      <c r="AY274">
        <f t="shared" si="242"/>
        <v>2.5436985593096855E-2</v>
      </c>
      <c r="AZ274" t="str">
        <f t="shared" si="218"/>
        <v>1+6,02259688559984i</v>
      </c>
      <c r="BA274">
        <f t="shared" si="243"/>
        <v>6.1050530912054226</v>
      </c>
      <c r="BB274">
        <f t="shared" si="244"/>
        <v>1.406256146191456</v>
      </c>
      <c r="BC274" s="41" t="str">
        <f t="shared" si="245"/>
        <v>-1,3212365274947+0,254068709769234i</v>
      </c>
      <c r="BD274">
        <f t="shared" si="246"/>
        <v>2.5773060811781212</v>
      </c>
      <c r="BE274" s="43">
        <f t="shared" si="247"/>
        <v>169.11511017308302</v>
      </c>
      <c r="BF274" s="41" t="str">
        <f t="shared" si="248"/>
        <v>-0,66340204628991+1,03723192722255i</v>
      </c>
      <c r="BG274" s="20">
        <f t="shared" si="249"/>
        <v>1.8068554941585189</v>
      </c>
      <c r="BH274" s="43">
        <f t="shared" si="250"/>
        <v>122.60253077944947</v>
      </c>
      <c r="BI274" s="41" t="str">
        <f t="shared" si="255"/>
        <v>-2,32958835587985+3,10638713049175i</v>
      </c>
      <c r="BJ274" s="20">
        <f t="shared" si="251"/>
        <v>11.78304072648716</v>
      </c>
      <c r="BK274" s="43">
        <f t="shared" si="256"/>
        <v>126.86751316010819</v>
      </c>
      <c r="BL274">
        <f t="shared" si="252"/>
        <v>1.8068554941585189</v>
      </c>
      <c r="BM274" s="43">
        <f t="shared" si="253"/>
        <v>122.60253077944947</v>
      </c>
    </row>
    <row r="275" spans="14:65" x14ac:dyDescent="0.25">
      <c r="N275" s="9">
        <v>57</v>
      </c>
      <c r="O275" s="34">
        <f t="shared" si="254"/>
        <v>3715.352290971724</v>
      </c>
      <c r="P275" s="33" t="str">
        <f t="shared" ref="P275:P338" si="257">COMPLEX(Adc,0)</f>
        <v>54,631621870174</v>
      </c>
      <c r="Q275" s="4" t="str">
        <f t="shared" ref="Q275:Q338" si="258">IMSUM(COMPLEX(1,0),IMDIV(COMPLEX(0,2*PI()*O275),COMPLEX(wp_lf,0)))</f>
        <v>1+93,041417444108i</v>
      </c>
      <c r="R275" s="4">
        <f t="shared" si="219"/>
        <v>93.04679123972393</v>
      </c>
      <c r="S275" s="4">
        <f t="shared" si="220"/>
        <v>1.560048839016424</v>
      </c>
      <c r="T275" s="4" t="str">
        <f t="shared" ref="T275:T338" si="259">IMSUM(COMPLEX(1,0),IMDIV(COMPLEX(0,2*PI()*O275),COMPLEX(wz_esr,0)))</f>
        <v>1+1,16721234628148i</v>
      </c>
      <c r="U275" s="4">
        <f t="shared" si="221"/>
        <v>1.5370050947579574</v>
      </c>
      <c r="V275" s="4">
        <f t="shared" si="222"/>
        <v>0.86240110373164525</v>
      </c>
      <c r="W275" t="str">
        <f t="shared" ref="W275:W338" si="260">IMSUB(COMPLEX(1,0),IMDIV(COMPLEX(0,2*PI()*O275),COMPLEX(wz_rhp,0)))</f>
        <v>1-0,0928946685511623i</v>
      </c>
      <c r="X275" s="4">
        <f t="shared" si="223"/>
        <v>1.0043054413101775</v>
      </c>
      <c r="Y275" s="4">
        <f t="shared" si="224"/>
        <v>-9.2628834575696928E-2</v>
      </c>
      <c r="Z275" t="str">
        <f t="shared" ref="Z275:Z338" si="261">IMSUM(COMPLEX(1,0),IMDIV(COMPLEX(0,2*PI()*O275),COMPLEX(Q*(wsl/2),0)),IMDIV(IMPOWER(COMPLEX(0,2*PI()*O275),2),IMPOWER(COMPLEX(wsl/2,0),2)))</f>
        <v>0,999944784629416+0,0127629761228909i</v>
      </c>
      <c r="AA275" s="4">
        <f t="shared" si="225"/>
        <v>1.0000262325894671</v>
      </c>
      <c r="AB275" s="4">
        <f t="shared" si="226"/>
        <v>1.2762987824993218E-2</v>
      </c>
      <c r="AC275" s="47" t="str">
        <f t="shared" si="227"/>
        <v>0,629446881661391-0,652056737881319i</v>
      </c>
      <c r="AD275" s="20">
        <f t="shared" si="228"/>
        <v>-0.85455153718469468</v>
      </c>
      <c r="AE275" s="43">
        <f t="shared" si="229"/>
        <v>-46.01077743742978</v>
      </c>
      <c r="AF275" t="str">
        <f t="shared" ref="AF275:AF338" si="262">COMPLEX($B$72,0)</f>
        <v>171,265703090588</v>
      </c>
      <c r="AG275" t="str">
        <f t="shared" ref="AG275:AG338" si="263">IMSUM(COMPLEX(1,0),IMDIV(COMPLEX(0,2*PI()*O275),COMPLEX(wp_lf_DCM,0)))</f>
        <v>1+92,151009456858i</v>
      </c>
      <c r="AH275">
        <f t="shared" si="230"/>
        <v>92.156435173665074</v>
      </c>
      <c r="AI275">
        <f t="shared" si="231"/>
        <v>1.5599449996618335</v>
      </c>
      <c r="AJ275" t="str">
        <f t="shared" ref="AJ275:AJ338" si="264">IMSUM(COMPLEX(1,0),IMDIV(COMPLEX(0,2*PI()*O275),COMPLEX(wz1_dcm,0)))</f>
        <v>1+1,16721234628148i</v>
      </c>
      <c r="AK275">
        <f t="shared" si="232"/>
        <v>1.5370050947579574</v>
      </c>
      <c r="AL275">
        <f t="shared" si="233"/>
        <v>0.86240110373164525</v>
      </c>
      <c r="AM275" t="str">
        <f t="shared" ref="AM275:AM338" si="265">IMSUB(COMPLEX(1,0),IMDIV(COMPLEX(0,2*PI()*O275),COMPLEX(wz2_dcm,0)))</f>
        <v>1-0,0293486348662998i</v>
      </c>
      <c r="AN275">
        <f t="shared" si="234"/>
        <v>1.0004305784853416</v>
      </c>
      <c r="AO275">
        <f t="shared" si="235"/>
        <v>-2.9340212810879281E-2</v>
      </c>
      <c r="AP275" s="41" t="str">
        <f t="shared" si="236"/>
        <v>2,13536516264695-1,89902674013741i</v>
      </c>
      <c r="AQ275">
        <f t="shared" si="237"/>
        <v>9.1201399918731365</v>
      </c>
      <c r="AR275" s="43">
        <f t="shared" si="238"/>
        <v>-41.647391625991474</v>
      </c>
      <c r="AS275" t="str">
        <f t="shared" ref="AS275:AS338" si="266">COMPLEX(Adc_ea,0)</f>
        <v>-0,0000166666666666667</v>
      </c>
      <c r="AT275" t="str">
        <f t="shared" ref="AT275:AT338" si="267">COMPLEX(0,2*PI()*O275*wp0_ea)</f>
        <v>0,0000773628343115363i</v>
      </c>
      <c r="AU275">
        <f t="shared" si="239"/>
        <v>7.7362834311536303E-5</v>
      </c>
      <c r="AV275">
        <f t="shared" si="240"/>
        <v>1.5707963267948966</v>
      </c>
      <c r="AW275" t="str">
        <f t="shared" ref="AW275:AW338" si="268">IMSUM(COMPLEX(1,0),IMDIV(COMPLEX(0,2*PI()*O275),COMPLEX(wp1_ea,0)))</f>
        <v>1+0,0260351045978054i</v>
      </c>
      <c r="AX275">
        <f t="shared" si="241"/>
        <v>1.0003388559240407</v>
      </c>
      <c r="AY275">
        <f t="shared" si="242"/>
        <v>2.6029224559578401E-2</v>
      </c>
      <c r="AZ275" t="str">
        <f t="shared" ref="AZ275:AZ338" si="269">IMSUM(COMPLEX(1,0),IMDIV(COMPLEX(0,2*PI()*O275),COMPLEX(wz_ea,0)))</f>
        <v>1+6,16288118836621i</v>
      </c>
      <c r="BA275">
        <f t="shared" si="243"/>
        <v>6.2434849677017823</v>
      </c>
      <c r="BB275">
        <f t="shared" si="244"/>
        <v>1.4099365336573124</v>
      </c>
      <c r="BC275" s="41" t="str">
        <f t="shared" si="245"/>
        <v>-1,32119624753671+0,249832540107399i</v>
      </c>
      <c r="BD275">
        <f t="shared" si="246"/>
        <v>2.5719261851715474</v>
      </c>
      <c r="BE275" s="43">
        <f t="shared" si="247"/>
        <v>169.29204804860686</v>
      </c>
      <c r="BF275" s="41" t="str">
        <f t="shared" si="248"/>
        <v>-0,668717866955679+1,01875122857797i</v>
      </c>
      <c r="BG275" s="20">
        <f t="shared" si="249"/>
        <v>1.7173746479868313</v>
      </c>
      <c r="BH275" s="43">
        <f t="shared" si="250"/>
        <v>123.28127061117716</v>
      </c>
      <c r="BI275" s="41" t="str">
        <f t="shared" si="255"/>
        <v>-2,34679776578936+3,04247070568235i</v>
      </c>
      <c r="BJ275" s="20">
        <f t="shared" si="251"/>
        <v>11.692066177044669</v>
      </c>
      <c r="BK275" s="43">
        <f t="shared" si="256"/>
        <v>127.64465642261536</v>
      </c>
      <c r="BL275">
        <f t="shared" si="252"/>
        <v>1.7173746479868313</v>
      </c>
      <c r="BM275" s="43">
        <f t="shared" si="253"/>
        <v>123.28127061117716</v>
      </c>
    </row>
    <row r="276" spans="14:65" x14ac:dyDescent="0.25">
      <c r="N276" s="9">
        <v>58</v>
      </c>
      <c r="O276" s="34">
        <f t="shared" si="254"/>
        <v>3801.8939632056172</v>
      </c>
      <c r="P276" s="33" t="str">
        <f t="shared" si="257"/>
        <v>54,631621870174</v>
      </c>
      <c r="Q276" s="4" t="str">
        <f t="shared" si="258"/>
        <v>1+95,208630462424i</v>
      </c>
      <c r="R276" s="4">
        <f t="shared" ref="R276:R339" si="270">IMABS(Q276)</f>
        <v>95.213881942342894</v>
      </c>
      <c r="S276" s="4">
        <f t="shared" ref="S276:S339" si="271">IMARGUMENT(Q276)</f>
        <v>1.5602934635058539</v>
      </c>
      <c r="T276" s="4" t="str">
        <f t="shared" si="259"/>
        <v>1+1,19440021445341i</v>
      </c>
      <c r="U276" s="4">
        <f t="shared" ref="U276:U339" si="272">IMABS(T276)</f>
        <v>1.5577521857748593</v>
      </c>
      <c r="V276" s="4">
        <f t="shared" ref="V276:V339" si="273">IMARGUMENT(T276)</f>
        <v>0.87375672273265392</v>
      </c>
      <c r="W276" t="str">
        <f t="shared" si="260"/>
        <v>1-0,0950584633486477i</v>
      </c>
      <c r="X276" s="4">
        <f t="shared" ref="X276:X339" si="274">IMABS(W276)</f>
        <v>1.0045078951676816</v>
      </c>
      <c r="Y276" s="4">
        <f t="shared" ref="Y276:Y339" si="275">IMARGUMENT(W276)</f>
        <v>-9.4773686105699667E-2</v>
      </c>
      <c r="Z276" t="str">
        <f t="shared" si="261"/>
        <v>0,99994218240917+0,0130602640272009i</v>
      </c>
      <c r="AA276" s="4">
        <f t="shared" ref="AA276:AA339" si="276">IMABS(Z276)</f>
        <v>1.0000274689515654</v>
      </c>
      <c r="AB276" s="4">
        <f t="shared" ref="AB276:AB339" si="277">IMARGUMENT(Z276)</f>
        <v>1.3060276565817871E-2</v>
      </c>
      <c r="AC276" s="47" t="str">
        <f t="shared" ref="AC276:AC339" si="278">(IMDIV(IMPRODUCT(P276,T276,W276),IMPRODUCT(Q276,Z276)))</f>
        <v>0,629124675104302-0,640516890615747i</v>
      </c>
      <c r="AD276" s="20">
        <f t="shared" ref="AD276:AD339" si="279">20*LOG(IMABS(AC276))</f>
        <v>-0.93632767719429655</v>
      </c>
      <c r="AE276" s="43">
        <f t="shared" ref="AE276:AE339" si="280">(180/PI())*IMARGUMENT(AC276)</f>
        <v>-45.514088676220609</v>
      </c>
      <c r="AF276" t="str">
        <f t="shared" si="262"/>
        <v>171,265703090588</v>
      </c>
      <c r="AG276" t="str">
        <f t="shared" si="263"/>
        <v>1+94,2974822088003i</v>
      </c>
      <c r="AH276">
        <f t="shared" ref="AH276:AH339" si="281">IMABS(AG276)</f>
        <v>94.302784428239505</v>
      </c>
      <c r="AI276">
        <f t="shared" ref="AI276:AI339" si="282">IMARGUMENT(AG276)</f>
        <v>1.5601919872909069</v>
      </c>
      <c r="AJ276" t="str">
        <f t="shared" si="264"/>
        <v>1+1,19440021445341i</v>
      </c>
      <c r="AK276">
        <f t="shared" ref="AK276:AK339" si="283">IMABS(AJ276)</f>
        <v>1.5577521857748593</v>
      </c>
      <c r="AL276">
        <f t="shared" ref="AL276:AL339" si="284">IMARGUMENT(AJ276)</f>
        <v>0.87375672273265392</v>
      </c>
      <c r="AM276" t="str">
        <f t="shared" si="265"/>
        <v>1-0,0300322523916911i</v>
      </c>
      <c r="AN276">
        <f t="shared" ref="AN276:AN339" si="285">IMABS(AM276)</f>
        <v>1.0004508664515805</v>
      </c>
      <c r="AO276">
        <f t="shared" ref="AO276:AO339" si="286">IMARGUMENT(AM276)</f>
        <v>-3.0023228216355894E-2</v>
      </c>
      <c r="AP276" s="41" t="str">
        <f t="shared" ref="AP276:AP339" si="287">(IMDIV(IMPRODUCT(AF276,AJ276,AM276),IMPRODUCT(AG276)))</f>
        <v>2,13446885614991-1,85874130937962i</v>
      </c>
      <c r="AQ276">
        <f t="shared" ref="AQ276:AQ339" si="288">20*LOG(IMABS(AP276))</f>
        <v>9.0368003934674075</v>
      </c>
      <c r="AR276" s="43">
        <f t="shared" ref="AR276:AR339" si="289">(180/PI())*IMARGUMENT(AP276)</f>
        <v>-41.050047832289266</v>
      </c>
      <c r="AS276" t="str">
        <f t="shared" si="266"/>
        <v>-0,0000166666666666667</v>
      </c>
      <c r="AT276" t="str">
        <f t="shared" si="267"/>
        <v>0,0000791648462139724i</v>
      </c>
      <c r="AU276">
        <f t="shared" ref="AU276:AU339" si="290">IMABS(AT276)</f>
        <v>7.9164846213972405E-5</v>
      </c>
      <c r="AV276">
        <f t="shared" ref="AV276:AV339" si="291">IMARGUMENT(AT276)</f>
        <v>1.5707963267948966</v>
      </c>
      <c r="AW276" t="str">
        <f t="shared" si="268"/>
        <v>1+0,0266415400882307i</v>
      </c>
      <c r="AX276">
        <f t="shared" ref="AX276:AX339" si="292">IMABS(AW276)</f>
        <v>1.0003548228794985</v>
      </c>
      <c r="AY276">
        <f t="shared" ref="AY276:AY339" si="293">IMARGUMENT(AW276)</f>
        <v>2.6635239634447461E-2</v>
      </c>
      <c r="AZ276" t="str">
        <f t="shared" si="269"/>
        <v>1+6,30643313231403i</v>
      </c>
      <c r="BA276">
        <f t="shared" ref="BA276:BA339" si="294">IMABS(AZ276)</f>
        <v>6.3852250432031088</v>
      </c>
      <c r="BB276">
        <f t="shared" ref="BB276:BB339" si="295">IMARGUMENT(AZ276)</f>
        <v>1.4135373978137116</v>
      </c>
      <c r="BC276" s="41" t="str">
        <f t="shared" ref="BC276:BC339" si="296">IMPRODUCT(AS276,IMDIV(AZ276,IMPRODUCT(AT276,AW276)))</f>
        <v>-1,32115407187503+0,245728736162424i</v>
      </c>
      <c r="BD276">
        <f t="shared" ref="BD276:BD339" si="297">20*LOG(IMABS(BC276))</f>
        <v>2.5667703038200607</v>
      </c>
      <c r="BE276" s="43">
        <f t="shared" ref="BE276:BE339" si="298">(180/PI())*IMARGUMENT(BC276)</f>
        <v>169.4636402612571</v>
      </c>
      <c r="BF276" s="41" t="str">
        <f t="shared" ref="BF276:BF339" si="299">IMPRODUCT(AC276,BC276)</f>
        <v>-0,673777220209411+1,0008155094437i</v>
      </c>
      <c r="BG276" s="20">
        <f t="shared" ref="BG276:BG339" si="300">20*LOG(IMABS(BF276))</f>
        <v>1.6304426266257455</v>
      </c>
      <c r="BH276" s="43">
        <f t="shared" ref="BH276:BH339" si="301">(180/PI())*IMARGUMENT(BF276)</f>
        <v>123.94955158503657</v>
      </c>
      <c r="BI276" s="41" t="str">
        <f t="shared" si="255"/>
        <v>-2,36321606778615+2,98018398384898i</v>
      </c>
      <c r="BJ276" s="20">
        <f t="shared" ref="BJ276:BJ339" si="302">20*LOG(IMABS(BI276))</f>
        <v>11.603570697287466</v>
      </c>
      <c r="BK276" s="43">
        <f t="shared" si="256"/>
        <v>128.41359242896789</v>
      </c>
      <c r="BL276">
        <f t="shared" ref="BL276:BL339" si="303">IF($B$31=0,BJ276,BG276)</f>
        <v>1.6304426266257455</v>
      </c>
      <c r="BM276" s="43">
        <f t="shared" ref="BM276:BM339" si="304">IF($B$31=0,BK276,BH276)</f>
        <v>123.94955158503657</v>
      </c>
    </row>
    <row r="277" spans="14:65" x14ac:dyDescent="0.25">
      <c r="N277" s="9">
        <v>59</v>
      </c>
      <c r="O277" s="34">
        <f t="shared" si="254"/>
        <v>3890.451449942811</v>
      </c>
      <c r="P277" s="33" t="str">
        <f t="shared" si="257"/>
        <v>54,631621870174</v>
      </c>
      <c r="Q277" s="4" t="str">
        <f t="shared" si="258"/>
        <v>1+97,4263243568464i</v>
      </c>
      <c r="R277" s="4">
        <f t="shared" si="270"/>
        <v>97.431456304857946</v>
      </c>
      <c r="S277" s="4">
        <f t="shared" si="271"/>
        <v>1.5605325208767602</v>
      </c>
      <c r="T277" s="4" t="str">
        <f t="shared" si="259"/>
        <v>1+1,22222136942881i</v>
      </c>
      <c r="U277" s="4">
        <f t="shared" si="272"/>
        <v>1.5791849403690614</v>
      </c>
      <c r="V277" s="4">
        <f t="shared" si="273"/>
        <v>0.88506647392675264</v>
      </c>
      <c r="W277" t="str">
        <f t="shared" si="260"/>
        <v>1-0,0972726594016481i</v>
      </c>
      <c r="X277" s="4">
        <f t="shared" si="274"/>
        <v>1.0047198466573004</v>
      </c>
      <c r="Y277" s="4">
        <f t="shared" si="275"/>
        <v>-9.6967592454750506E-2</v>
      </c>
      <c r="Z277" t="str">
        <f t="shared" si="261"/>
        <v>0,999939457550063+0,0133644766563711i</v>
      </c>
      <c r="AA277" s="4">
        <f t="shared" si="276"/>
        <v>1.0000287635872345</v>
      </c>
      <c r="AB277" s="4">
        <f t="shared" si="277"/>
        <v>1.336449009127944E-2</v>
      </c>
      <c r="AC277" s="47" t="str">
        <f t="shared" si="278"/>
        <v>0,628813146167072-0,629316355342144i</v>
      </c>
      <c r="AD277" s="20">
        <f t="shared" si="279"/>
        <v>-1.0157923396025534</v>
      </c>
      <c r="AE277" s="43">
        <f t="shared" si="280"/>
        <v>-45.022916369397485</v>
      </c>
      <c r="AF277" t="str">
        <f t="shared" si="262"/>
        <v>171,265703090588</v>
      </c>
      <c r="AG277" t="str">
        <f t="shared" si="263"/>
        <v>1+96,4939527339845i</v>
      </c>
      <c r="AH277">
        <f t="shared" si="281"/>
        <v>96.499134266730266</v>
      </c>
      <c r="AI277">
        <f t="shared" si="282"/>
        <v>1.5604333540453779</v>
      </c>
      <c r="AJ277" t="str">
        <f t="shared" si="264"/>
        <v>1+1,22222136942881i</v>
      </c>
      <c r="AK277">
        <f t="shared" si="283"/>
        <v>1.5791849403690614</v>
      </c>
      <c r="AL277">
        <f t="shared" si="284"/>
        <v>0.88506647392675264</v>
      </c>
      <c r="AM277" t="str">
        <f t="shared" si="265"/>
        <v>1-0,0307317934148245i</v>
      </c>
      <c r="AN277">
        <f t="shared" si="285"/>
        <v>1.0004721101192635</v>
      </c>
      <c r="AO277">
        <f t="shared" si="286"/>
        <v>-3.0722124083161873E-2</v>
      </c>
      <c r="AP277" s="41" t="str">
        <f t="shared" si="287"/>
        <v>2,1336128812222-1,81944055213304i</v>
      </c>
      <c r="AQ277">
        <f t="shared" si="288"/>
        <v>8.9556992972894385</v>
      </c>
      <c r="AR277" s="43">
        <f t="shared" si="289"/>
        <v>-40.455919901357433</v>
      </c>
      <c r="AS277" t="str">
        <f t="shared" si="266"/>
        <v>-0,0000166666666666667</v>
      </c>
      <c r="AT277" t="str">
        <f t="shared" si="267"/>
        <v>0,0000810088323657415i</v>
      </c>
      <c r="AU277">
        <f t="shared" si="290"/>
        <v>8.1008832365741498E-5</v>
      </c>
      <c r="AV277">
        <f t="shared" si="291"/>
        <v>1.5707963267948966</v>
      </c>
      <c r="AW277" t="str">
        <f t="shared" si="268"/>
        <v>1+0,0272621012758532i</v>
      </c>
      <c r="AX277">
        <f t="shared" si="292"/>
        <v>1.0003715420612358</v>
      </c>
      <c r="AY277">
        <f t="shared" si="293"/>
        <v>2.7255350353405622E-2</v>
      </c>
      <c r="AZ277" t="str">
        <f t="shared" si="269"/>
        <v>1+6,45332883058411i</v>
      </c>
      <c r="BA277">
        <f t="shared" si="294"/>
        <v>6.5303486121070184</v>
      </c>
      <c r="BB277">
        <f t="shared" si="295"/>
        <v>1.4170602741792904</v>
      </c>
      <c r="BC277" s="41" t="str">
        <f t="shared" si="296"/>
        <v>-1,3211099114216+0,241755114986977i</v>
      </c>
      <c r="BD277">
        <f t="shared" si="297"/>
        <v>2.5618282895850419</v>
      </c>
      <c r="BE277" s="43">
        <f t="shared" si="298"/>
        <v>169.62995648172407</v>
      </c>
      <c r="BF277" s="41" t="str">
        <f t="shared" si="299"/>
        <v>-0,678590831984593+0,983414868919167i</v>
      </c>
      <c r="BG277" s="20">
        <f t="shared" si="300"/>
        <v>1.5460359499824876</v>
      </c>
      <c r="BH277" s="43">
        <f t="shared" si="301"/>
        <v>124.60704011232657</v>
      </c>
      <c r="BI277" s="41" t="str">
        <f t="shared" si="255"/>
        <v>-2,37887806462655+2,91949277410292i</v>
      </c>
      <c r="BJ277" s="20">
        <f t="shared" si="302"/>
        <v>11.517527586874483</v>
      </c>
      <c r="BK277" s="43">
        <f t="shared" si="256"/>
        <v>129.17403658036653</v>
      </c>
      <c r="BL277">
        <f t="shared" si="303"/>
        <v>1.5460359499824876</v>
      </c>
      <c r="BM277" s="43">
        <f t="shared" si="304"/>
        <v>124.60704011232657</v>
      </c>
    </row>
    <row r="278" spans="14:65" x14ac:dyDescent="0.25">
      <c r="N278" s="9">
        <v>60</v>
      </c>
      <c r="O278" s="34">
        <f t="shared" si="254"/>
        <v>3981.0717055349769</v>
      </c>
      <c r="P278" s="33" t="str">
        <f t="shared" si="257"/>
        <v>54,631621870174</v>
      </c>
      <c r="Q278" s="4" t="str">
        <f t="shared" si="258"/>
        <v>1+99,6956749780325i</v>
      </c>
      <c r="R278" s="4">
        <f t="shared" si="270"/>
        <v>99.70069011458996</v>
      </c>
      <c r="S278" s="4">
        <f t="shared" si="271"/>
        <v>1.5607661377711688</v>
      </c>
      <c r="T278" s="4" t="str">
        <f t="shared" si="259"/>
        <v>1+1,25069056235229i</v>
      </c>
      <c r="U278" s="4">
        <f t="shared" si="272"/>
        <v>1.6013203560677942</v>
      </c>
      <c r="V278" s="4">
        <f t="shared" si="273"/>
        <v>0.89632478156307416</v>
      </c>
      <c r="W278" t="str">
        <f t="shared" si="260"/>
        <v>1-0,0995384307062189i</v>
      </c>
      <c r="X278" s="4">
        <f t="shared" si="274"/>
        <v>1.0049417392005653</v>
      </c>
      <c r="Y278" s="4">
        <f t="shared" si="275"/>
        <v>-9.9211632336416972E-2</v>
      </c>
      <c r="Z278" t="str">
        <f t="shared" si="261"/>
        <v>0,999936604272302+0,0136757753079642i</v>
      </c>
      <c r="AA278" s="4">
        <f t="shared" si="276"/>
        <v>1.0000301192433636</v>
      </c>
      <c r="AB278" s="4">
        <f t="shared" si="277"/>
        <v>1.3675789703209708E-2</v>
      </c>
      <c r="AC278" s="47" t="str">
        <f t="shared" si="278"/>
        <v>0,628511634452995-0,618449208736847i</v>
      </c>
      <c r="AD278" s="20">
        <f t="shared" si="279"/>
        <v>-1.0929608415023437</v>
      </c>
      <c r="AE278" s="43">
        <f t="shared" si="280"/>
        <v>-44.53765828765507</v>
      </c>
      <c r="AF278" t="str">
        <f t="shared" si="262"/>
        <v>171,265703090588</v>
      </c>
      <c r="AG278" t="str">
        <f t="shared" si="263"/>
        <v>1+98,7415856301564i</v>
      </c>
      <c r="AH278">
        <f t="shared" si="281"/>
        <v>98.746649222935702</v>
      </c>
      <c r="AI278">
        <f t="shared" si="282"/>
        <v>1.5606692277885372</v>
      </c>
      <c r="AJ278" t="str">
        <f t="shared" si="264"/>
        <v>1+1,25069056235229i</v>
      </c>
      <c r="AK278">
        <f t="shared" si="283"/>
        <v>1.6013203560677942</v>
      </c>
      <c r="AL278">
        <f t="shared" si="284"/>
        <v>0.89632478156307416</v>
      </c>
      <c r="AM278" t="str">
        <f t="shared" si="265"/>
        <v>1-0,0314476288416096i</v>
      </c>
      <c r="AN278">
        <f t="shared" si="285"/>
        <v>1.0004943544867004</v>
      </c>
      <c r="AO278">
        <f t="shared" si="286"/>
        <v>-3.1437268242538216E-2</v>
      </c>
      <c r="AP278" s="41" t="str">
        <f t="shared" si="287"/>
        <v>2,13279542342432-1,7811036877204i</v>
      </c>
      <c r="AQ278">
        <f t="shared" si="288"/>
        <v>8.8768180203579359</v>
      </c>
      <c r="AR278" s="43">
        <f t="shared" si="289"/>
        <v>-39.865355701392886</v>
      </c>
      <c r="AS278" t="str">
        <f t="shared" si="266"/>
        <v>-0,0000166666666666667</v>
      </c>
      <c r="AT278" t="str">
        <f t="shared" si="267"/>
        <v>0,0000828957704727096i</v>
      </c>
      <c r="AU278">
        <f t="shared" si="290"/>
        <v>8.2895770472709597E-5</v>
      </c>
      <c r="AV278">
        <f t="shared" si="291"/>
        <v>1.5707963267948966</v>
      </c>
      <c r="AW278" t="str">
        <f t="shared" si="268"/>
        <v>1+0,0278971171904288i</v>
      </c>
      <c r="AX278">
        <f t="shared" si="292"/>
        <v>1.0003890488942473</v>
      </c>
      <c r="AY278">
        <f t="shared" si="293"/>
        <v>2.788988359862643E-2</v>
      </c>
      <c r="AZ278" t="str">
        <f t="shared" si="269"/>
        <v>1+6,60364616922006i</v>
      </c>
      <c r="BA278">
        <f t="shared" si="294"/>
        <v>6.6789327536856344</v>
      </c>
      <c r="BB278">
        <f t="shared" si="295"/>
        <v>1.4205066806808013</v>
      </c>
      <c r="BC278" s="41" t="str">
        <f t="shared" si="296"/>
        <v>-1,32106367291417+0,237909562154934i</v>
      </c>
      <c r="BD278">
        <f t="shared" si="297"/>
        <v>2.5570903814442101</v>
      </c>
      <c r="BE278" s="43">
        <f t="shared" si="298"/>
        <v>169.79106495183515</v>
      </c>
      <c r="BF278" s="41" t="str">
        <f t="shared" si="299"/>
        <v>-0,683168907814113+0,966539710966755i</v>
      </c>
      <c r="BG278" s="20">
        <f t="shared" si="300"/>
        <v>1.4641295399418641</v>
      </c>
      <c r="BH278" s="43">
        <f t="shared" si="301"/>
        <v>125.25340666418009</v>
      </c>
      <c r="BI278" s="41" t="str">
        <f t="shared" si="255"/>
        <v>-2,39381695714537+2,86036380489381i</v>
      </c>
      <c r="BJ278" s="20">
        <f t="shared" si="302"/>
        <v>11.433908401802146</v>
      </c>
      <c r="BK278" s="43">
        <f t="shared" si="256"/>
        <v>129.92570925044234</v>
      </c>
      <c r="BL278">
        <f t="shared" si="303"/>
        <v>1.4641295399418641</v>
      </c>
      <c r="BM278" s="43">
        <f t="shared" si="304"/>
        <v>125.25340666418009</v>
      </c>
    </row>
    <row r="279" spans="14:65" x14ac:dyDescent="0.25">
      <c r="N279" s="9">
        <v>61</v>
      </c>
      <c r="O279" s="34">
        <f t="shared" si="254"/>
        <v>4073.8027780411317</v>
      </c>
      <c r="P279" s="33" t="str">
        <f t="shared" si="257"/>
        <v>54,631621870174</v>
      </c>
      <c r="Q279" s="4" t="str">
        <f t="shared" si="258"/>
        <v>1+102,01788556572i</v>
      </c>
      <c r="R279" s="4">
        <f t="shared" si="270"/>
        <v>102.02278654937993</v>
      </c>
      <c r="S279" s="4">
        <f t="shared" si="271"/>
        <v>1.5609944379537901</v>
      </c>
      <c r="T279" s="4" t="str">
        <f t="shared" si="259"/>
        <v>1+1,27982288796677i</v>
      </c>
      <c r="U279" s="4">
        <f t="shared" si="272"/>
        <v>1.6241756754007872</v>
      </c>
      <c r="V279" s="4">
        <f t="shared" si="273"/>
        <v>0.90752619974505411</v>
      </c>
      <c r="W279" t="str">
        <f t="shared" si="260"/>
        <v>1-0,101856978604297i</v>
      </c>
      <c r="X279" s="4">
        <f t="shared" si="274"/>
        <v>1.0051740367172224</v>
      </c>
      <c r="Y279" s="4">
        <f t="shared" si="275"/>
        <v>-0.10150690511792737</v>
      </c>
      <c r="Z279" t="str">
        <f t="shared" si="261"/>
        <v>0,999933616523702+0,013994325036646i</v>
      </c>
      <c r="AA279" s="4">
        <f t="shared" si="276"/>
        <v>1.0000315387963528</v>
      </c>
      <c r="AB279" s="4">
        <f t="shared" si="277"/>
        <v>1.3994340460848116E-2</v>
      </c>
      <c r="AC279" s="47" t="str">
        <f t="shared" si="278"/>
        <v>0,628219500783739-0,607909702892119i</v>
      </c>
      <c r="AD279" s="20">
        <f t="shared" si="279"/>
        <v>-1.1678504005835586</v>
      </c>
      <c r="AE279" s="43">
        <f t="shared" si="280"/>
        <v>-44.05870599537802</v>
      </c>
      <c r="AF279" t="str">
        <f t="shared" si="262"/>
        <v>171,265703090588</v>
      </c>
      <c r="AG279" t="str">
        <f t="shared" si="263"/>
        <v>1+101,041572622029i</v>
      </c>
      <c r="AH279">
        <f t="shared" si="281"/>
        <v>101.04652095907488</v>
      </c>
      <c r="AI279">
        <f t="shared" si="282"/>
        <v>1.5608997334787207</v>
      </c>
      <c r="AJ279" t="str">
        <f t="shared" si="264"/>
        <v>1+1,27982288796677i</v>
      </c>
      <c r="AK279">
        <f t="shared" si="283"/>
        <v>1.6241756754007872</v>
      </c>
      <c r="AL279">
        <f t="shared" si="284"/>
        <v>0.90752619974505411</v>
      </c>
      <c r="AM279" t="str">
        <f t="shared" si="265"/>
        <v>1-0,0321801382174653i</v>
      </c>
      <c r="AN279">
        <f t="shared" si="285"/>
        <v>1.0005176466688106</v>
      </c>
      <c r="AO279">
        <f t="shared" si="286"/>
        <v>-3.2169036945735092E-2</v>
      </c>
      <c r="AP279" s="41" t="str">
        <f t="shared" si="287"/>
        <v>2,13201474991142-1,74371044272307i</v>
      </c>
      <c r="AQ279">
        <f t="shared" si="288"/>
        <v>8.8001358271809877</v>
      </c>
      <c r="AR279" s="43">
        <f t="shared" si="289"/>
        <v>-39.278695976478737</v>
      </c>
      <c r="AS279" t="str">
        <f t="shared" si="266"/>
        <v>-0,0000166666666666667</v>
      </c>
      <c r="AT279" t="str">
        <f t="shared" si="267"/>
        <v>0,0000848266610144376i</v>
      </c>
      <c r="AU279">
        <f t="shared" si="290"/>
        <v>8.4826661014437594E-5</v>
      </c>
      <c r="AV279">
        <f t="shared" si="291"/>
        <v>1.5707963267948966</v>
      </c>
      <c r="AW279" t="str">
        <f t="shared" si="268"/>
        <v>1+0,0285469245258007i</v>
      </c>
      <c r="AX279">
        <f t="shared" si="292"/>
        <v>1.0004073804705171</v>
      </c>
      <c r="AY279">
        <f t="shared" si="293"/>
        <v>2.8539173762995959E-2</v>
      </c>
      <c r="AZ279" t="str">
        <f t="shared" si="269"/>
        <v>1+6,75746484846454i</v>
      </c>
      <c r="BA279">
        <f t="shared" si="294"/>
        <v>6.8310563735218794</v>
      </c>
      <c r="BB279">
        <f t="shared" si="295"/>
        <v>1.4238781169963666</v>
      </c>
      <c r="BC279" s="41" t="str">
        <f t="shared" si="296"/>
        <v>-1,32101525872197+0,23419003060443i</v>
      </c>
      <c r="BD279">
        <f t="shared" si="297"/>
        <v>2.5525471898327727</v>
      </c>
      <c r="BE279" s="43">
        <f t="shared" si="298"/>
        <v>169.94703243751653</v>
      </c>
      <c r="BF279" s="41" t="str">
        <f t="shared" si="299"/>
        <v>-0,687521154436982+0,950180737560472i</v>
      </c>
      <c r="BG279" s="20">
        <f t="shared" si="300"/>
        <v>1.3846967892492095</v>
      </c>
      <c r="BH279" s="43">
        <f t="shared" si="301"/>
        <v>125.88832644213851</v>
      </c>
      <c r="BI279" s="41" t="str">
        <f t="shared" si="255"/>
        <v>-2,40806441450671+2,80276470116087i</v>
      </c>
      <c r="BJ279" s="20">
        <f t="shared" si="302"/>
        <v>11.35268301701376</v>
      </c>
      <c r="BK279" s="43">
        <f t="shared" si="256"/>
        <v>130.66833646103777</v>
      </c>
      <c r="BL279">
        <f t="shared" si="303"/>
        <v>1.3846967892492095</v>
      </c>
      <c r="BM279" s="43">
        <f t="shared" si="304"/>
        <v>125.88832644213851</v>
      </c>
    </row>
    <row r="280" spans="14:65" x14ac:dyDescent="0.25">
      <c r="N280" s="9">
        <v>62</v>
      </c>
      <c r="O280" s="34">
        <f t="shared" si="254"/>
        <v>4168.6938347033583</v>
      </c>
      <c r="P280" s="33" t="str">
        <f t="shared" si="257"/>
        <v>54,631621870174</v>
      </c>
      <c r="Q280" s="4" t="str">
        <f t="shared" si="258"/>
        <v>1+104,394187386702i</v>
      </c>
      <c r="R280" s="4">
        <f t="shared" si="270"/>
        <v>104.39897681553134</v>
      </c>
      <c r="S280" s="4">
        <f t="shared" si="271"/>
        <v>1.5612175423771544</v>
      </c>
      <c r="T280" s="4" t="str">
        <f t="shared" si="259"/>
        <v>1+1,30963379261692i</v>
      </c>
      <c r="U280" s="4">
        <f t="shared" si="272"/>
        <v>1.6477683911169607</v>
      </c>
      <c r="V280" s="4">
        <f t="shared" si="273"/>
        <v>0.91866542451459954</v>
      </c>
      <c r="W280" t="str">
        <f t="shared" si="260"/>
        <v>1-0,104229532420668i</v>
      </c>
      <c r="X280" s="4">
        <f t="shared" si="274"/>
        <v>1.0054172245533846</v>
      </c>
      <c r="Y280" s="4">
        <f t="shared" si="275"/>
        <v>-0.10385453099320219</v>
      </c>
      <c r="Z280" t="str">
        <f t="shared" si="261"/>
        <v>0,99993048796685+0,014320294741699i</v>
      </c>
      <c r="AA280" s="4">
        <f t="shared" si="276"/>
        <v>1.0000330252582221</v>
      </c>
      <c r="AB280" s="4">
        <f t="shared" si="277"/>
        <v>1.4320311268377028E-2</v>
      </c>
      <c r="AC280" s="47" t="str">
        <f t="shared" si="278"/>
        <v>0,627936125846679-0,597692262335254i</v>
      </c>
      <c r="AD280" s="20">
        <f t="shared" si="279"/>
        <v>-1.2404800437900212</v>
      </c>
      <c r="AE280" s="43">
        <f t="shared" si="280"/>
        <v>-43.586444176929731</v>
      </c>
      <c r="AF280" t="str">
        <f t="shared" si="262"/>
        <v>171,265703090588</v>
      </c>
      <c r="AG280" t="str">
        <f t="shared" si="263"/>
        <v>1+103,39513319315i</v>
      </c>
      <c r="AH280">
        <f t="shared" si="281"/>
        <v>103.39996889762217</v>
      </c>
      <c r="AI280">
        <f t="shared" si="282"/>
        <v>1.5611249932350604</v>
      </c>
      <c r="AJ280" t="str">
        <f t="shared" si="264"/>
        <v>1+1,30963379261692i</v>
      </c>
      <c r="AK280">
        <f t="shared" si="283"/>
        <v>1.6477683911169607</v>
      </c>
      <c r="AL280">
        <f t="shared" si="284"/>
        <v>0.91866542451459954</v>
      </c>
      <c r="AM280" t="str">
        <f t="shared" si="265"/>
        <v>1-0,0329297099285584i</v>
      </c>
      <c r="AN280">
        <f t="shared" si="285"/>
        <v>1.0005420359964787</v>
      </c>
      <c r="AO280">
        <f t="shared" si="286"/>
        <v>-3.2917815049600438E-2</v>
      </c>
      <c r="AP280" s="41" t="str">
        <f t="shared" si="287"/>
        <v>2,13126920576694-1,70724104048587i</v>
      </c>
      <c r="AQ280">
        <f t="shared" si="288"/>
        <v>8.7256300145840893</v>
      </c>
      <c r="AR280" s="43">
        <f t="shared" si="289"/>
        <v>-38.696273668611951</v>
      </c>
      <c r="AS280" t="str">
        <f t="shared" si="266"/>
        <v>-0,0000166666666666667</v>
      </c>
      <c r="AT280" t="str">
        <f t="shared" si="267"/>
        <v>0,000086802527774649i</v>
      </c>
      <c r="AU280">
        <f t="shared" si="290"/>
        <v>8.6802527774649003E-5</v>
      </c>
      <c r="AV280">
        <f t="shared" si="291"/>
        <v>1.5707963267948966</v>
      </c>
      <c r="AW280" t="str">
        <f t="shared" si="268"/>
        <v>1+0,0292118678184195i</v>
      </c>
      <c r="AX280">
        <f t="shared" si="292"/>
        <v>1.0004265756273376</v>
      </c>
      <c r="AY280">
        <f t="shared" si="293"/>
        <v>2.920356291769035E-2</v>
      </c>
      <c r="AZ280" t="str">
        <f t="shared" si="269"/>
        <v>1+6,91486642501731i</v>
      </c>
      <c r="BA280">
        <f t="shared" si="294"/>
        <v>6.9868002458802039</v>
      </c>
      <c r="BB280">
        <f t="shared" si="295"/>
        <v>1.4271760639737769</v>
      </c>
      <c r="BC280" s="41" t="str">
        <f t="shared" si="296"/>
        <v>-1,3209645666424+0,230594539514092i</v>
      </c>
      <c r="BD280">
        <f t="shared" si="297"/>
        <v>2.5481896819103182</v>
      </c>
      <c r="BE280" s="43">
        <f t="shared" si="298"/>
        <v>170.09792418586181</v>
      </c>
      <c r="BF280" s="41" t="str">
        <f t="shared" si="299"/>
        <v>-0,691656800353832+0,934328942085082i</v>
      </c>
      <c r="BG280" s="20">
        <f t="shared" si="300"/>
        <v>1.3077096381202939</v>
      </c>
      <c r="BH280" s="43">
        <f t="shared" si="301"/>
        <v>126.51148000893208</v>
      </c>
      <c r="BI280" s="41" t="str">
        <f t="shared" si="255"/>
        <v>-2,42165064122382+2,74666396228393i</v>
      </c>
      <c r="BJ280" s="20">
        <f t="shared" si="302"/>
        <v>11.27381969649441</v>
      </c>
      <c r="BK280" s="43">
        <f t="shared" si="256"/>
        <v>131.40165051724986</v>
      </c>
      <c r="BL280">
        <f t="shared" si="303"/>
        <v>1.3077096381202939</v>
      </c>
      <c r="BM280" s="43">
        <f t="shared" si="304"/>
        <v>126.51148000893208</v>
      </c>
    </row>
    <row r="281" spans="14:65" x14ac:dyDescent="0.25">
      <c r="N281" s="9">
        <v>63</v>
      </c>
      <c r="O281" s="34">
        <f t="shared" si="254"/>
        <v>4265.7951880159299</v>
      </c>
      <c r="P281" s="33" t="str">
        <f t="shared" si="257"/>
        <v>54,631621870174</v>
      </c>
      <c r="Q281" s="4" t="str">
        <f t="shared" si="258"/>
        <v>1+106,825840387656i</v>
      </c>
      <c r="R281" s="4">
        <f t="shared" si="270"/>
        <v>106.83052080060715</v>
      </c>
      <c r="S281" s="4">
        <f t="shared" si="271"/>
        <v>1.5614355692452877</v>
      </c>
      <c r="T281" s="4" t="str">
        <f t="shared" si="259"/>
        <v>1+1,34013908243895i</v>
      </c>
      <c r="U281" s="4">
        <f t="shared" si="272"/>
        <v>1.6721162520232589</v>
      </c>
      <c r="V281" s="4">
        <f t="shared" si="273"/>
        <v>0.92973730509767227</v>
      </c>
      <c r="W281" t="str">
        <f t="shared" si="260"/>
        <v>1-0,10665735011477i</v>
      </c>
      <c r="X281" s="4">
        <f t="shared" si="274"/>
        <v>1.0056718104498628</v>
      </c>
      <c r="Y281" s="4">
        <f t="shared" si="275"/>
        <v>-0.10625565113929285</v>
      </c>
      <c r="Z281" t="str">
        <f t="shared" si="261"/>
        <v>0,999927211965656+0,0146538572565755i</v>
      </c>
      <c r="AA281" s="4">
        <f t="shared" si="276"/>
        <v>1.0000345817830032</v>
      </c>
      <c r="AB281" s="4">
        <f t="shared" si="277"/>
        <v>1.4653874964498164E-2</v>
      </c>
      <c r="AC281" s="47" t="str">
        <f t="shared" si="278"/>
        <v>0,627660908884153-0,587791481133055i</v>
      </c>
      <c r="AD281" s="20">
        <f t="shared" si="279"/>
        <v>-1.3108705092524799</v>
      </c>
      <c r="AE281" s="43">
        <f t="shared" si="280"/>
        <v>-43.121250010072671</v>
      </c>
      <c r="AF281" t="str">
        <f t="shared" si="262"/>
        <v>171,265703090588</v>
      </c>
      <c r="AG281" t="str">
        <f t="shared" si="263"/>
        <v>1+105,803515232485i</v>
      </c>
      <c r="AH281">
        <f t="shared" si="281"/>
        <v>105.80824086785813</v>
      </c>
      <c r="AI281">
        <f t="shared" si="282"/>
        <v>1.5613451264017673</v>
      </c>
      <c r="AJ281" t="str">
        <f t="shared" si="264"/>
        <v>1+1,34013908243895i</v>
      </c>
      <c r="AK281">
        <f t="shared" si="283"/>
        <v>1.6721162520232589</v>
      </c>
      <c r="AL281">
        <f t="shared" si="284"/>
        <v>0.92973730509767227</v>
      </c>
      <c r="AM281" t="str">
        <f t="shared" si="265"/>
        <v>1-0,0336967414077318i</v>
      </c>
      <c r="AN281">
        <f t="shared" si="285"/>
        <v>1.0005675741205586</v>
      </c>
      <c r="AO281">
        <f t="shared" si="286"/>
        <v>-3.3683996205744776E-2</v>
      </c>
      <c r="AP281" s="41" t="str">
        <f t="shared" si="287"/>
        <v>2,13055721050072-1,67167619086858i</v>
      </c>
      <c r="AQ281">
        <f t="shared" si="288"/>
        <v>8.6532760030144633</v>
      </c>
      <c r="AR281" s="43">
        <f t="shared" si="289"/>
        <v>-38.118413287901681</v>
      </c>
      <c r="AS281" t="str">
        <f t="shared" si="266"/>
        <v>-0,0000166666666666667</v>
      </c>
      <c r="AT281" t="str">
        <f t="shared" si="267"/>
        <v>0,0000888244183840538i</v>
      </c>
      <c r="AU281">
        <f t="shared" si="290"/>
        <v>8.8824418384053804E-5</v>
      </c>
      <c r="AV281">
        <f t="shared" si="291"/>
        <v>1.5707963267948966</v>
      </c>
      <c r="AW281" t="str">
        <f t="shared" si="268"/>
        <v>1+0,0298922996300204i</v>
      </c>
      <c r="AX281">
        <f t="shared" si="292"/>
        <v>1.0004466750292946</v>
      </c>
      <c r="AY281">
        <f t="shared" si="293"/>
        <v>2.9883400983131036E-2</v>
      </c>
      <c r="AZ281" t="str">
        <f t="shared" si="269"/>
        <v>1+7,07593435527768i</v>
      </c>
      <c r="BA281">
        <f t="shared" si="294"/>
        <v>7.146247057036228</v>
      </c>
      <c r="BB281">
        <f t="shared" si="295"/>
        <v>1.4304019831191772</v>
      </c>
      <c r="BC281" s="41" t="str">
        <f t="shared" si="296"/>
        <v>-1,32091148968837+0,22712117321164i</v>
      </c>
      <c r="BD281">
        <f t="shared" si="297"/>
        <v>2.5440091671589182</v>
      </c>
      <c r="BE281" s="43">
        <f t="shared" si="298"/>
        <v>170.24380388604158</v>
      </c>
      <c r="BF281" s="41" t="str">
        <f t="shared" si="299"/>
        <v>-0,695584615374576+0,91897560297445i</v>
      </c>
      <c r="BG281" s="20">
        <f t="shared" si="300"/>
        <v>1.2331386579064361</v>
      </c>
      <c r="BH281" s="43">
        <f t="shared" si="301"/>
        <v>127.12255387596893</v>
      </c>
      <c r="BI281" s="41" t="str">
        <f t="shared" si="255"/>
        <v>-2,43460444108877+2,69203094080024i</v>
      </c>
      <c r="BJ281" s="20">
        <f t="shared" si="302"/>
        <v>11.197285170173387</v>
      </c>
      <c r="BK281" s="43">
        <f t="shared" si="256"/>
        <v>132.12539059813994</v>
      </c>
      <c r="BL281">
        <f t="shared" si="303"/>
        <v>1.2331386579064361</v>
      </c>
      <c r="BM281" s="43">
        <f t="shared" si="304"/>
        <v>127.12255387596893</v>
      </c>
    </row>
    <row r="282" spans="14:65" x14ac:dyDescent="0.25">
      <c r="N282" s="9">
        <v>64</v>
      </c>
      <c r="O282" s="34">
        <f t="shared" si="254"/>
        <v>4365.1583224016631</v>
      </c>
      <c r="P282" s="33" t="str">
        <f t="shared" si="257"/>
        <v>54,631621870174</v>
      </c>
      <c r="Q282" s="4" t="str">
        <f t="shared" si="258"/>
        <v>1+109,31413386319i</v>
      </c>
      <c r="R282" s="4">
        <f t="shared" si="270"/>
        <v>109.31870774144478</v>
      </c>
      <c r="S282" s="4">
        <f t="shared" si="271"/>
        <v>1.5616486340759612</v>
      </c>
      <c r="T282" s="4" t="str">
        <f t="shared" si="259"/>
        <v>1+1,37135493174134i</v>
      </c>
      <c r="U282" s="4">
        <f t="shared" si="272"/>
        <v>1.6972372694503544</v>
      </c>
      <c r="V282" s="4">
        <f t="shared" si="273"/>
        <v>0.94073685426248232</v>
      </c>
      <c r="W282" t="str">
        <f t="shared" si="260"/>
        <v>1-0,109141718947678i</v>
      </c>
      <c r="X282" s="4">
        <f t="shared" si="274"/>
        <v>1.0059383255522447</v>
      </c>
      <c r="Y282" s="4">
        <f t="shared" si="275"/>
        <v>-0.10871142785453074</v>
      </c>
      <c r="Z282" t="str">
        <f t="shared" si="261"/>
        <v>0,999923781571281+0,0149951894405361i</v>
      </c>
      <c r="AA282" s="4">
        <f t="shared" si="276"/>
        <v>1.0000362116734416</v>
      </c>
      <c r="AB282" s="4">
        <f t="shared" si="277"/>
        <v>1.4995208414095915E-2</v>
      </c>
      <c r="AC282" s="47" t="str">
        <f t="shared" si="278"/>
        <v>0,627393266421917-0,578202120080303i</v>
      </c>
      <c r="AD282" s="20">
        <f t="shared" si="279"/>
        <v>-1.3790441422135411</v>
      </c>
      <c r="AE282" s="43">
        <f t="shared" si="280"/>
        <v>-42.663492589220958</v>
      </c>
      <c r="AF282" t="str">
        <f t="shared" si="262"/>
        <v>171,265703090588</v>
      </c>
      <c r="AG282" t="str">
        <f t="shared" si="263"/>
        <v>1+108,267995696072i</v>
      </c>
      <c r="AH282">
        <f t="shared" si="281"/>
        <v>108.27261376749279</v>
      </c>
      <c r="AI282">
        <f t="shared" si="282"/>
        <v>1.5615602496109724</v>
      </c>
      <c r="AJ282" t="str">
        <f t="shared" si="264"/>
        <v>1+1,37135493174134i</v>
      </c>
      <c r="AK282">
        <f t="shared" si="283"/>
        <v>1.6972372694503544</v>
      </c>
      <c r="AL282">
        <f t="shared" si="284"/>
        <v>0.94073685426248232</v>
      </c>
      <c r="AM282" t="str">
        <f t="shared" si="265"/>
        <v>1-0,0344816393452286i</v>
      </c>
      <c r="AN282">
        <f t="shared" si="285"/>
        <v>1.0005943151207359</v>
      </c>
      <c r="AO282">
        <f t="shared" si="286"/>
        <v>-3.4467983053309635E-2</v>
      </c>
      <c r="AP282" s="41" t="str">
        <f t="shared" si="287"/>
        <v>2,12987725470431-1,63699708023931i</v>
      </c>
      <c r="AQ282">
        <f t="shared" si="288"/>
        <v>8.5830474335994751</v>
      </c>
      <c r="AR282" s="43">
        <f t="shared" si="289"/>
        <v>-37.545430333733385</v>
      </c>
      <c r="AS282" t="str">
        <f t="shared" si="266"/>
        <v>-0,0000166666666666667</v>
      </c>
      <c r="AT282" t="str">
        <f t="shared" si="267"/>
        <v>0,0000908934048758161i</v>
      </c>
      <c r="AU282">
        <f t="shared" si="290"/>
        <v>9.08934048758161E-5</v>
      </c>
      <c r="AV282">
        <f t="shared" si="291"/>
        <v>1.5707963267948966</v>
      </c>
      <c r="AW282" t="str">
        <f t="shared" si="268"/>
        <v>1+0,0305885807345564i</v>
      </c>
      <c r="AX282">
        <f t="shared" si="292"/>
        <v>1.0004677212540916</v>
      </c>
      <c r="AY282">
        <f t="shared" si="293"/>
        <v>3.0579045903361305E-2</v>
      </c>
      <c r="AZ282" t="str">
        <f t="shared" si="269"/>
        <v>1+7,24075403959427i</v>
      </c>
      <c r="BA282">
        <f t="shared" si="294"/>
        <v>7.3094814495900282</v>
      </c>
      <c r="BB282">
        <f t="shared" si="295"/>
        <v>1.4335573161516704</v>
      </c>
      <c r="BC282" s="41" t="str">
        <f t="shared" si="296"/>
        <v>-1,32085591586594+0,22376808011414i</v>
      </c>
      <c r="BD282">
        <f t="shared" si="297"/>
        <v>2.5399972833162692</v>
      </c>
      <c r="BE282" s="43">
        <f t="shared" si="298"/>
        <v>170.38473363379273</v>
      </c>
      <c r="BF282" s="41" t="str">
        <f t="shared" si="299"/>
        <v>-0,69931292919955+0,904112277578068i</v>
      </c>
      <c r="BG282" s="20">
        <f t="shared" si="300"/>
        <v>1.1609531411027254</v>
      </c>
      <c r="BH282" s="43">
        <f t="shared" si="301"/>
        <v>127.72124104457177</v>
      </c>
      <c r="BI282" s="41" t="str">
        <f t="shared" si="255"/>
        <v>-2,44695327814689+2,63883582185332i</v>
      </c>
      <c r="BJ282" s="20">
        <f t="shared" si="302"/>
        <v>11.123044716915736</v>
      </c>
      <c r="BK282" s="43">
        <f t="shared" si="256"/>
        <v>132.83930330005936</v>
      </c>
      <c r="BL282">
        <f t="shared" si="303"/>
        <v>1.1609531411027254</v>
      </c>
      <c r="BM282" s="43">
        <f t="shared" si="304"/>
        <v>127.72124104457177</v>
      </c>
    </row>
    <row r="283" spans="14:65" x14ac:dyDescent="0.25">
      <c r="N283" s="9">
        <v>65</v>
      </c>
      <c r="O283" s="34">
        <f t="shared" si="254"/>
        <v>4466.8359215096343</v>
      </c>
      <c r="P283" s="33" t="str">
        <f t="shared" si="257"/>
        <v>54,631621870174</v>
      </c>
      <c r="Q283" s="4" t="str">
        <f t="shared" si="258"/>
        <v>1+111,860387139443i</v>
      </c>
      <c r="R283" s="4">
        <f t="shared" si="270"/>
        <v>111.86485690772622</v>
      </c>
      <c r="S283" s="4">
        <f t="shared" si="271"/>
        <v>1.561856849761545</v>
      </c>
      <c r="T283" s="4" t="str">
        <f t="shared" si="259"/>
        <v>1+1,40329789158056i</v>
      </c>
      <c r="U283" s="4">
        <f t="shared" si="272"/>
        <v>1.7231497243462175</v>
      </c>
      <c r="V283" s="4">
        <f t="shared" si="273"/>
        <v>0.95165925775044469</v>
      </c>
      <c r="W283" t="str">
        <f t="shared" si="260"/>
        <v>1-0,111683956164635i</v>
      </c>
      <c r="X283" s="4">
        <f t="shared" si="274"/>
        <v>1.0062173254643274</v>
      </c>
      <c r="Y283" s="4">
        <f t="shared" si="275"/>
        <v>-0.11122304467658936</v>
      </c>
      <c r="Z283" t="str">
        <f t="shared" si="261"/>
        <v>0,999920189507401+0,015344472272423i</v>
      </c>
      <c r="AA283" s="4">
        <f t="shared" si="276"/>
        <v>1.0000379183880159</v>
      </c>
      <c r="AB283" s="4">
        <f t="shared" si="277"/>
        <v>1.5344492602037244E-2</v>
      </c>
      <c r="AC283" s="47" t="str">
        <f t="shared" si="278"/>
        <v>0,627132631033954-0,568919103971051i</v>
      </c>
      <c r="AD283" s="20">
        <f t="shared" si="279"/>
        <v>-1.445024785687534</v>
      </c>
      <c r="AE283" s="43">
        <f t="shared" si="280"/>
        <v>-42.213532400711792</v>
      </c>
      <c r="AF283" t="str">
        <f t="shared" si="262"/>
        <v>171,265703090588</v>
      </c>
      <c r="AG283" t="str">
        <f t="shared" si="263"/>
        <v>1+110,789881284073i</v>
      </c>
      <c r="AH283">
        <f t="shared" si="281"/>
        <v>110.79439423968611</v>
      </c>
      <c r="AI283">
        <f t="shared" si="282"/>
        <v>1.5617704768441592</v>
      </c>
      <c r="AJ283" t="str">
        <f t="shared" si="264"/>
        <v>1+1,40329789158056i</v>
      </c>
      <c r="AK283">
        <f t="shared" si="283"/>
        <v>1.7231497243462175</v>
      </c>
      <c r="AL283">
        <f t="shared" si="284"/>
        <v>0.95165925775044469</v>
      </c>
      <c r="AM283" t="str">
        <f t="shared" si="265"/>
        <v>1-0,0352848199043247i</v>
      </c>
      <c r="AN283">
        <f t="shared" si="285"/>
        <v>1.0006223156194751</v>
      </c>
      <c r="AO283">
        <f t="shared" si="286"/>
        <v>-3.5270187415367756E-2</v>
      </c>
      <c r="AP283" s="41" t="str">
        <f t="shared" si="287"/>
        <v>2,12922789685635-1,60318536170603i</v>
      </c>
      <c r="AQ283">
        <f t="shared" si="288"/>
        <v>8.5149162702117422</v>
      </c>
      <c r="AR283" s="43">
        <f t="shared" si="289"/>
        <v>-36.977630769187314</v>
      </c>
      <c r="AS283" t="str">
        <f t="shared" si="266"/>
        <v>-0,0000166666666666667</v>
      </c>
      <c r="AT283" t="str">
        <f t="shared" si="267"/>
        <v>0,0000930105842539599i</v>
      </c>
      <c r="AU283">
        <f t="shared" si="290"/>
        <v>9.3010584253959901E-5</v>
      </c>
      <c r="AV283">
        <f t="shared" si="291"/>
        <v>1.5707963267948966</v>
      </c>
      <c r="AW283" t="str">
        <f t="shared" si="268"/>
        <v>1+0,0313010803094856i</v>
      </c>
      <c r="AX283">
        <f t="shared" si="292"/>
        <v>1.0004897588823889</v>
      </c>
      <c r="AY283">
        <f t="shared" si="293"/>
        <v>3.1290863823883013E-2</v>
      </c>
      <c r="AZ283" t="str">
        <f t="shared" si="269"/>
        <v>1+7,40941286754538i</v>
      </c>
      <c r="BA283">
        <f t="shared" si="294"/>
        <v>7.4765900677880577</v>
      </c>
      <c r="BB283">
        <f t="shared" si="295"/>
        <v>1.4366434846195755</v>
      </c>
      <c r="BC283" s="41" t="str">
        <f t="shared" si="296"/>
        <v>-1,32079772794175+0,2205334716991i</v>
      </c>
      <c r="BD283">
        <f t="shared" si="297"/>
        <v>2.536145982644864</v>
      </c>
      <c r="BE283" s="43">
        <f t="shared" si="298"/>
        <v>170.52077389924244</v>
      </c>
      <c r="BF283" s="41" t="str">
        <f t="shared" si="299"/>
        <v>-0,702849649073101+0,889730796245329i</v>
      </c>
      <c r="BG283" s="20">
        <f t="shared" si="300"/>
        <v>1.09112119695733</v>
      </c>
      <c r="BH283" s="43">
        <f t="shared" si="301"/>
        <v>128.30724149853063</v>
      </c>
      <c r="BI283" s="41" t="str">
        <f t="shared" si="255"/>
        <v>-2,45872333484385+2,5870496033431i</v>
      </c>
      <c r="BJ283" s="20">
        <f t="shared" si="302"/>
        <v>11.051062252856605</v>
      </c>
      <c r="BK283" s="43">
        <f t="shared" si="256"/>
        <v>133.54314313005514</v>
      </c>
      <c r="BL283">
        <f t="shared" si="303"/>
        <v>1.09112119695733</v>
      </c>
      <c r="BM283" s="43">
        <f t="shared" si="304"/>
        <v>128.30724149853063</v>
      </c>
    </row>
    <row r="284" spans="14:65" x14ac:dyDescent="0.25">
      <c r="N284" s="9">
        <v>66</v>
      </c>
      <c r="O284" s="34">
        <f t="shared" ref="O284:O318" si="305">10^(3+(N284/100))</f>
        <v>4570.8818961487532</v>
      </c>
      <c r="P284" s="33" t="str">
        <f t="shared" si="257"/>
        <v>54,631621870174</v>
      </c>
      <c r="Q284" s="4" t="str">
        <f t="shared" si="258"/>
        <v>1+114,465950273604i</v>
      </c>
      <c r="R284" s="4">
        <f t="shared" si="270"/>
        <v>114.47031830146706</v>
      </c>
      <c r="S284" s="4">
        <f t="shared" si="271"/>
        <v>1.5620603266284943</v>
      </c>
      <c r="T284" s="4" t="str">
        <f t="shared" si="259"/>
        <v>1+1,43598489853675i</v>
      </c>
      <c r="U284" s="4">
        <f t="shared" si="272"/>
        <v>1.7498721749961053</v>
      </c>
      <c r="V284" s="4">
        <f t="shared" si="273"/>
        <v>0.96249988274965437</v>
      </c>
      <c r="W284" t="str">
        <f t="shared" si="260"/>
        <v>1-0,114285409693462i</v>
      </c>
      <c r="X284" s="4">
        <f t="shared" si="274"/>
        <v>1.0065093913465499</v>
      </c>
      <c r="Y284" s="4">
        <f t="shared" si="275"/>
        <v>-0.11379170647850108</v>
      </c>
      <c r="Z284" t="str">
        <f t="shared" si="261"/>
        <v>0,999916428154766+0,0157018909466168i</v>
      </c>
      <c r="AA284" s="4">
        <f t="shared" si="276"/>
        <v>1.0000397055482773</v>
      </c>
      <c r="AB284" s="4">
        <f t="shared" si="277"/>
        <v>1.5701912729157115E-2</v>
      </c>
      <c r="AC284" s="47" t="str">
        <f t="shared" si="278"/>
        <v>0,626878450141369-0,559937518951616i</v>
      </c>
      <c r="AD284" s="20">
        <f t="shared" si="279"/>
        <v>-1.5088376666121228</v>
      </c>
      <c r="AE284" s="43">
        <f t="shared" si="280"/>
        <v>-41.771720851720744</v>
      </c>
      <c r="AF284" t="str">
        <f t="shared" si="262"/>
        <v>171,265703090588</v>
      </c>
      <c r="AG284" t="str">
        <f t="shared" si="263"/>
        <v>1+113,370509133609i</v>
      </c>
      <c r="AH284">
        <f t="shared" si="281"/>
        <v>113.37491936585323</v>
      </c>
      <c r="AI284">
        <f t="shared" si="282"/>
        <v>1.5619759194922178</v>
      </c>
      <c r="AJ284" t="str">
        <f t="shared" si="264"/>
        <v>1+1,43598489853675i</v>
      </c>
      <c r="AK284">
        <f t="shared" si="283"/>
        <v>1.7498721749961053</v>
      </c>
      <c r="AL284">
        <f t="shared" si="284"/>
        <v>0.96249988274965437</v>
      </c>
      <c r="AM284" t="str">
        <f t="shared" si="265"/>
        <v>1-0,036106708941984i</v>
      </c>
      <c r="AN284">
        <f t="shared" si="285"/>
        <v>1.0006516349012882</v>
      </c>
      <c r="AO284">
        <f t="shared" si="286"/>
        <v>-3.6091030498978688E-2</v>
      </c>
      <c r="AP284" s="41" t="str">
        <f t="shared" si="287"/>
        <v>2,1286077602713-1,57022314558155i</v>
      </c>
      <c r="AQ284">
        <f t="shared" si="288"/>
        <v>8.4488529057743182</v>
      </c>
      <c r="AR284" s="43">
        <f t="shared" si="289"/>
        <v>-36.415310550447728</v>
      </c>
      <c r="AS284" t="str">
        <f t="shared" si="266"/>
        <v>-0,0000166666666666667</v>
      </c>
      <c r="AT284" t="str">
        <f t="shared" si="267"/>
        <v>0,0000951770790750158i</v>
      </c>
      <c r="AU284">
        <f t="shared" si="290"/>
        <v>9.5177079075015796E-5</v>
      </c>
      <c r="AV284">
        <f t="shared" si="291"/>
        <v>1.5707963267948966</v>
      </c>
      <c r="AW284" t="str">
        <f t="shared" si="268"/>
        <v>1+0,0320301761315137i</v>
      </c>
      <c r="AX284">
        <f t="shared" si="292"/>
        <v>1.0005128345918486</v>
      </c>
      <c r="AY284">
        <f t="shared" si="293"/>
        <v>3.2019229272991057E-2</v>
      </c>
      <c r="AZ284" t="str">
        <f t="shared" si="269"/>
        <v>1+7,58200026427404i</v>
      </c>
      <c r="BA284">
        <f t="shared" si="294"/>
        <v>7.647661603879425</v>
      </c>
      <c r="BB284">
        <f t="shared" si="295"/>
        <v>1.439661889574269</v>
      </c>
      <c r="BC284" s="41" t="str">
        <f t="shared" si="296"/>
        <v>-1,32073680319977+0,217415621505662i</v>
      </c>
      <c r="BD284">
        <f t="shared" si="297"/>
        <v>2.5324475185369537</v>
      </c>
      <c r="BE284" s="43">
        <f t="shared" si="298"/>
        <v>170.65198349783071</v>
      </c>
      <c r="BF284" s="41" t="str">
        <f t="shared" si="299"/>
        <v>-0,706202276547334+0,87582325661776i</v>
      </c>
      <c r="BG284" s="20">
        <f t="shared" si="300"/>
        <v>1.0236098519248324</v>
      </c>
      <c r="BH284" s="43">
        <f t="shared" si="301"/>
        <v>128.88026264610997</v>
      </c>
      <c r="BI284" s="41" t="str">
        <f t="shared" si="255"/>
        <v>-2,46993956746775+2,53664407674682i</v>
      </c>
      <c r="BJ284" s="20">
        <f t="shared" si="302"/>
        <v>10.981300424311266</v>
      </c>
      <c r="BK284" s="43">
        <f t="shared" si="256"/>
        <v>134.236672947383</v>
      </c>
      <c r="BL284">
        <f t="shared" si="303"/>
        <v>1.0236098519248324</v>
      </c>
      <c r="BM284" s="43">
        <f t="shared" si="304"/>
        <v>128.88026264610997</v>
      </c>
    </row>
    <row r="285" spans="14:65" x14ac:dyDescent="0.25">
      <c r="N285" s="9">
        <v>67</v>
      </c>
      <c r="O285" s="34">
        <f t="shared" si="305"/>
        <v>4677.3514128719844</v>
      </c>
      <c r="P285" s="33" t="str">
        <f t="shared" si="257"/>
        <v>54,631621870174</v>
      </c>
      <c r="Q285" s="4" t="str">
        <f t="shared" si="258"/>
        <v>1+117,132204769736i</v>
      </c>
      <c r="R285" s="4">
        <f t="shared" si="270"/>
        <v>117.13647337281145</v>
      </c>
      <c r="S285" s="4">
        <f t="shared" si="271"/>
        <v>1.5622591724955026</v>
      </c>
      <c r="T285" s="4" t="str">
        <f t="shared" si="259"/>
        <v>1+1,46943328369365i</v>
      </c>
      <c r="U285" s="4">
        <f t="shared" si="272"/>
        <v>1.7774234653640373</v>
      </c>
      <c r="V285" s="4">
        <f t="shared" si="273"/>
        <v>0.97325428538963799</v>
      </c>
      <c r="W285" t="str">
        <f t="shared" si="260"/>
        <v>1-0,116947458859254i</v>
      </c>
      <c r="X285" s="4">
        <f t="shared" si="274"/>
        <v>1.0068151310611282</v>
      </c>
      <c r="Y285" s="4">
        <f t="shared" si="275"/>
        <v>-0.11641863954060995</v>
      </c>
      <c r="Z285" t="str">
        <f t="shared" si="261"/>
        <v>0,999912489535042+0,0160676349712296i</v>
      </c>
      <c r="AA285" s="4">
        <f t="shared" si="276"/>
        <v>1.0000415769465458</v>
      </c>
      <c r="AB285" s="4">
        <f t="shared" si="277"/>
        <v>1.6067658310482132E-2</v>
      </c>
      <c r="AC285" s="47" t="str">
        <f t="shared" si="278"/>
        <v>0,626630184842445-0,551252609953891i</v>
      </c>
      <c r="AD285" s="20">
        <f t="shared" si="279"/>
        <v>-1.5705092782638279</v>
      </c>
      <c r="AE285" s="43">
        <f t="shared" si="280"/>
        <v>-41.338399853926347</v>
      </c>
      <c r="AF285" t="str">
        <f t="shared" si="262"/>
        <v>171,265703090588</v>
      </c>
      <c r="AG285" t="str">
        <f t="shared" si="263"/>
        <v>1+116,011247527723i</v>
      </c>
      <c r="AH285">
        <f t="shared" si="281"/>
        <v>116.0155573745979</v>
      </c>
      <c r="AI285">
        <f t="shared" si="282"/>
        <v>1.5621766864141515</v>
      </c>
      <c r="AJ285" t="str">
        <f t="shared" si="264"/>
        <v>1+1,46943328369365i</v>
      </c>
      <c r="AK285">
        <f t="shared" si="283"/>
        <v>1.7774234653640373</v>
      </c>
      <c r="AL285">
        <f t="shared" si="284"/>
        <v>0.97325428538963799</v>
      </c>
      <c r="AM285" t="str">
        <f t="shared" si="265"/>
        <v>1-0,036947742234653i</v>
      </c>
      <c r="AN285">
        <f t="shared" si="285"/>
        <v>1.0006823350375673</v>
      </c>
      <c r="AO285">
        <f t="shared" si="286"/>
        <v>-3.6930943098919908E-2</v>
      </c>
      <c r="AP285" s="41" t="str">
        <f t="shared" si="287"/>
        <v>2,12801553018521-1,53809299007826i</v>
      </c>
      <c r="AQ285">
        <f t="shared" si="288"/>
        <v>8.3848262720335693</v>
      </c>
      <c r="AR285" s="43">
        <f t="shared" si="289"/>
        <v>-35.858755212421421</v>
      </c>
      <c r="AS285" t="str">
        <f t="shared" si="266"/>
        <v>-0,0000166666666666667</v>
      </c>
      <c r="AT285" t="str">
        <f t="shared" si="267"/>
        <v>0,0000973940380432149i</v>
      </c>
      <c r="AU285">
        <f t="shared" si="290"/>
        <v>9.7394038043214896E-5</v>
      </c>
      <c r="AV285">
        <f t="shared" si="291"/>
        <v>1.5707963267948966</v>
      </c>
      <c r="AW285" t="str">
        <f t="shared" si="268"/>
        <v>1+0,0327762547768963i</v>
      </c>
      <c r="AX285">
        <f t="shared" si="292"/>
        <v>1.0005369972555738</v>
      </c>
      <c r="AY285">
        <f t="shared" si="293"/>
        <v>3.276452534664237E-2</v>
      </c>
      <c r="AZ285" t="str">
        <f t="shared" si="269"/>
        <v>1+7,75860773790244i</v>
      </c>
      <c r="BA285">
        <f t="shared" si="294"/>
        <v>7.8227868455327112</v>
      </c>
      <c r="BB285">
        <f t="shared" si="295"/>
        <v>1.4426139112977421</v>
      </c>
      <c r="BC285" s="41" t="str">
        <f t="shared" si="296"/>
        <v>-1,32067301318701+0,214412864165114i</v>
      </c>
      <c r="BD285">
        <f t="shared" si="297"/>
        <v>2.5288944324543978</v>
      </c>
      <c r="BE285" s="43">
        <f t="shared" si="298"/>
        <v>170.77841956410867</v>
      </c>
      <c r="BF285" s="41" t="str">
        <f t="shared" si="299"/>
        <v>-0,709377923391097+0,862382018119392i</v>
      </c>
      <c r="BG285" s="20">
        <f t="shared" si="300"/>
        <v>0.95838515419057013</v>
      </c>
      <c r="BH285" s="43">
        <f t="shared" si="301"/>
        <v>129.44001971018236</v>
      </c>
      <c r="BI285" s="41" t="str">
        <f t="shared" si="255"/>
        <v>-2,48062575900349+2,48759180858333i</v>
      </c>
      <c r="BJ285" s="20">
        <f t="shared" si="302"/>
        <v>10.913720704487972</v>
      </c>
      <c r="BK285" s="43">
        <f t="shared" si="256"/>
        <v>134.91966435168723</v>
      </c>
      <c r="BL285">
        <f t="shared" si="303"/>
        <v>0.95838515419057013</v>
      </c>
      <c r="BM285" s="43">
        <f t="shared" si="304"/>
        <v>129.44001971018236</v>
      </c>
    </row>
    <row r="286" spans="14:65" x14ac:dyDescent="0.25">
      <c r="N286" s="9">
        <v>68</v>
      </c>
      <c r="O286" s="34">
        <f t="shared" si="305"/>
        <v>4786.3009232263848</v>
      </c>
      <c r="P286" s="33" t="str">
        <f t="shared" si="257"/>
        <v>54,631621870174</v>
      </c>
      <c r="Q286" s="4" t="str">
        <f t="shared" si="258"/>
        <v>1+119,860564311266i</v>
      </c>
      <c r="R286" s="4">
        <f t="shared" si="270"/>
        <v>119.86473575249366</v>
      </c>
      <c r="S286" s="4">
        <f t="shared" si="271"/>
        <v>1.5624534927303462</v>
      </c>
      <c r="T286" s="4" t="str">
        <f t="shared" si="259"/>
        <v>1+1,5036607818278i</v>
      </c>
      <c r="U286" s="4">
        <f t="shared" si="272"/>
        <v>1.8058227340486637</v>
      </c>
      <c r="V286" s="4">
        <f t="shared" si="273"/>
        <v>0.98391821724548467</v>
      </c>
      <c r="W286" t="str">
        <f t="shared" si="260"/>
        <v>1-0,119671515115717i</v>
      </c>
      <c r="X286" s="4">
        <f t="shared" si="274"/>
        <v>1.0071351803656208</v>
      </c>
      <c r="Y286" s="4">
        <f t="shared" si="275"/>
        <v>-0.11910509159625059</v>
      </c>
      <c r="Z286" t="str">
        <f t="shared" si="261"/>
        <v>0,999908365293889+0,0164418982685844i</v>
      </c>
      <c r="AA286" s="4">
        <f t="shared" si="276"/>
        <v>1.0000435365539702</v>
      </c>
      <c r="AB286" s="4">
        <f t="shared" si="277"/>
        <v>1.6441923275742589E-2</v>
      </c>
      <c r="AC286" s="47" t="str">
        <f t="shared" si="278"/>
        <v>0,626387308771712-0,542859778207945i</v>
      </c>
      <c r="AD286" s="20">
        <f t="shared" si="279"/>
        <v>-1.6300672597012618</v>
      </c>
      <c r="AE286" s="43">
        <f t="shared" si="280"/>
        <v>-40.913901462483189</v>
      </c>
      <c r="AF286" t="str">
        <f t="shared" si="262"/>
        <v>171,265703090588</v>
      </c>
      <c r="AG286" t="str">
        <f t="shared" si="263"/>
        <v>1+118,713496620867i</v>
      </c>
      <c r="AH286">
        <f t="shared" si="281"/>
        <v>118.71770836717073</v>
      </c>
      <c r="AI286">
        <f t="shared" si="282"/>
        <v>1.5623728839944637</v>
      </c>
      <c r="AJ286" t="str">
        <f t="shared" si="264"/>
        <v>1+1,5036607818278i</v>
      </c>
      <c r="AK286">
        <f t="shared" si="283"/>
        <v>1.8058227340486637</v>
      </c>
      <c r="AL286">
        <f t="shared" si="284"/>
        <v>0.98391821724548467</v>
      </c>
      <c r="AM286" t="str">
        <f t="shared" si="265"/>
        <v>1-0,0378083657093161i</v>
      </c>
      <c r="AN286">
        <f t="shared" si="285"/>
        <v>1.0007144810172426</v>
      </c>
      <c r="AO286">
        <f t="shared" si="286"/>
        <v>-3.7790365805111123E-2</v>
      </c>
      <c r="AP286" s="41" t="str">
        <f t="shared" si="287"/>
        <v>2,12744995097216-1,50677789222816i</v>
      </c>
      <c r="AQ286">
        <f t="shared" si="288"/>
        <v>8.3228039520261419</v>
      </c>
      <c r="AR286" s="43">
        <f t="shared" si="289"/>
        <v>-35.308239511251472</v>
      </c>
      <c r="AS286" t="str">
        <f t="shared" si="266"/>
        <v>-0,0000166666666666667</v>
      </c>
      <c r="AT286" t="str">
        <f t="shared" si="267"/>
        <v>0,000099662636619547i</v>
      </c>
      <c r="AU286">
        <f t="shared" si="290"/>
        <v>9.9662636619547005E-5</v>
      </c>
      <c r="AV286">
        <f t="shared" si="291"/>
        <v>1.5707963267948966</v>
      </c>
      <c r="AW286" t="str">
        <f t="shared" si="268"/>
        <v>1+0,0335397118264065i</v>
      </c>
      <c r="AX286">
        <f t="shared" si="292"/>
        <v>1.0005622980451534</v>
      </c>
      <c r="AY286">
        <f t="shared" si="293"/>
        <v>3.3527143896892243E-2</v>
      </c>
      <c r="AZ286" t="str">
        <f t="shared" si="269"/>
        <v>1+7,93932892805081i</v>
      </c>
      <c r="BA286">
        <f t="shared" si="294"/>
        <v>8.0020587243399071</v>
      </c>
      <c r="BB286">
        <f t="shared" si="295"/>
        <v>1.4455009090801825</v>
      </c>
      <c r="BC286" s="41" t="str">
        <f t="shared" si="296"/>
        <v>-1,32060622344766+0,211523594459967i</v>
      </c>
      <c r="BD286">
        <f t="shared" si="297"/>
        <v>2.5254795412002009</v>
      </c>
      <c r="BE286" s="43">
        <f t="shared" si="298"/>
        <v>170.90013752819848</v>
      </c>
      <c r="BF286" s="41" t="str">
        <f t="shared" si="299"/>
        <v>-0,712383326678269+0,849399696636326i</v>
      </c>
      <c r="BG286" s="20">
        <f t="shared" si="300"/>
        <v>0.89541228149893526</v>
      </c>
      <c r="BH286" s="43">
        <f t="shared" si="301"/>
        <v>129.98623606571533</v>
      </c>
      <c r="BI286" s="41" t="str">
        <f t="shared" si="255"/>
        <v>-2,49080456951034+2,43986612249317i</v>
      </c>
      <c r="BJ286" s="20">
        <f t="shared" si="302"/>
        <v>10.848283493226345</v>
      </c>
      <c r="BK286" s="43">
        <f t="shared" si="256"/>
        <v>135.591898016947</v>
      </c>
      <c r="BL286">
        <f t="shared" si="303"/>
        <v>0.89541228149893526</v>
      </c>
      <c r="BM286" s="43">
        <f t="shared" si="304"/>
        <v>129.98623606571533</v>
      </c>
    </row>
    <row r="287" spans="14:65" x14ac:dyDescent="0.25">
      <c r="N287" s="9">
        <v>69</v>
      </c>
      <c r="O287" s="34">
        <f t="shared" si="305"/>
        <v>4897.7881936844633</v>
      </c>
      <c r="P287" s="33" t="str">
        <f t="shared" si="257"/>
        <v>54,631621870174</v>
      </c>
      <c r="Q287" s="4" t="str">
        <f t="shared" si="258"/>
        <v>1+122,652475510535i</v>
      </c>
      <c r="R287" s="4">
        <f t="shared" si="270"/>
        <v>122.65655200136025</v>
      </c>
      <c r="S287" s="4">
        <f t="shared" si="271"/>
        <v>1.5626433903054509</v>
      </c>
      <c r="T287" s="4" t="str">
        <f t="shared" si="259"/>
        <v>1+1,53868554081179i</v>
      </c>
      <c r="U287" s="4">
        <f t="shared" si="272"/>
        <v>1.8350894238437732</v>
      </c>
      <c r="V287" s="4">
        <f t="shared" si="273"/>
        <v>0.99448763084817826</v>
      </c>
      <c r="W287" t="str">
        <f t="shared" si="260"/>
        <v>1-0,122459022793534i</v>
      </c>
      <c r="X287" s="4">
        <f t="shared" si="274"/>
        <v>1.0074702041567023</v>
      </c>
      <c r="Y287" s="4">
        <f t="shared" si="275"/>
        <v>-0.12185233184882893</v>
      </c>
      <c r="Z287" t="str">
        <f t="shared" si="261"/>
        <v>0,999904046683239+0,0168248792780355i</v>
      </c>
      <c r="AA287" s="4">
        <f t="shared" si="276"/>
        <v>1.0000455885289616</v>
      </c>
      <c r="AB287" s="4">
        <f t="shared" si="277"/>
        <v>1.6824906072227998E-2</v>
      </c>
      <c r="AC287" s="47" t="str">
        <f t="shared" si="278"/>
        <v>0,626149306985534-0,534754578832763i</v>
      </c>
      <c r="AD287" s="20">
        <f t="shared" si="279"/>
        <v>-1.6875402729943065</v>
      </c>
      <c r="AE287" s="43">
        <f t="shared" si="280"/>
        <v>-40.498547570359889</v>
      </c>
      <c r="AF287" t="str">
        <f t="shared" si="262"/>
        <v>171,265703090588</v>
      </c>
      <c r="AG287" t="str">
        <f t="shared" si="263"/>
        <v>1+121,478689181278i</v>
      </c>
      <c r="AH287">
        <f t="shared" si="281"/>
        <v>121.48280505981721</v>
      </c>
      <c r="AI287">
        <f t="shared" si="282"/>
        <v>1.562564616199255</v>
      </c>
      <c r="AJ287" t="str">
        <f t="shared" si="264"/>
        <v>1+1,53868554081179i</v>
      </c>
      <c r="AK287">
        <f t="shared" si="283"/>
        <v>1.8350894238437732</v>
      </c>
      <c r="AL287">
        <f t="shared" si="284"/>
        <v>0.99448763084817826</v>
      </c>
      <c r="AM287" t="str">
        <f t="shared" si="265"/>
        <v>1-0,0386890356799312i</v>
      </c>
      <c r="AN287">
        <f t="shared" si="285"/>
        <v>1.0007481408835308</v>
      </c>
      <c r="AO287">
        <f t="shared" si="286"/>
        <v>-3.8669749213740529E-2</v>
      </c>
      <c r="AP287" s="41" t="str">
        <f t="shared" si="287"/>
        <v>2,12690982348596-1,47626127902449i</v>
      </c>
      <c r="AQ287">
        <f t="shared" si="288"/>
        <v>8.2627522944793732</v>
      </c>
      <c r="AR287" s="43">
        <f t="shared" si="289"/>
        <v>-34.764027123908292</v>
      </c>
      <c r="AS287" t="str">
        <f t="shared" si="266"/>
        <v>-0,0000166666666666667</v>
      </c>
      <c r="AT287" t="str">
        <f t="shared" si="267"/>
        <v>0,000101984077645006i</v>
      </c>
      <c r="AU287">
        <f t="shared" si="290"/>
        <v>1.01984077645006E-4</v>
      </c>
      <c r="AV287">
        <f t="shared" si="291"/>
        <v>1.5707963267948966</v>
      </c>
      <c r="AW287" t="str">
        <f t="shared" si="268"/>
        <v>1+0,0343209520750778i</v>
      </c>
      <c r="AX287">
        <f t="shared" si="292"/>
        <v>1.0005887905385207</v>
      </c>
      <c r="AY287">
        <f t="shared" si="293"/>
        <v>3.4307485723930019E-2</v>
      </c>
      <c r="AZ287" t="str">
        <f t="shared" si="269"/>
        <v>1+8,12425965548627i</v>
      </c>
      <c r="BA287">
        <f t="shared" si="294"/>
        <v>8.1855723654343127</v>
      </c>
      <c r="BB287">
        <f t="shared" si="295"/>
        <v>1.4483242210440848</v>
      </c>
      <c r="BC287" s="41" t="str">
        <f t="shared" si="296"/>
        <v>-1,32053629324499+0,208746266410829i</v>
      </c>
      <c r="BD287">
        <f t="shared" si="297"/>
        <v>2.5221959245165659</v>
      </c>
      <c r="BE287" s="43">
        <f t="shared" si="298"/>
        <v>171.01719109471208</v>
      </c>
      <c r="BF287" s="41" t="str">
        <f t="shared" si="299"/>
        <v>-0,715224863087162+0,836869159376561i</v>
      </c>
      <c r="BG287" s="20">
        <f t="shared" si="300"/>
        <v>0.83465565152226129</v>
      </c>
      <c r="BH287" s="43">
        <f t="shared" si="301"/>
        <v>130.5186435243522</v>
      </c>
      <c r="BI287" s="41" t="str">
        <f t="shared" si="255"/>
        <v>-2,50049758412927+2,39344108190932i</v>
      </c>
      <c r="BJ287" s="20">
        <f t="shared" si="302"/>
        <v>10.784948218995947</v>
      </c>
      <c r="BK287" s="43">
        <f t="shared" si="256"/>
        <v>136.25316397080377</v>
      </c>
      <c r="BL287">
        <f t="shared" si="303"/>
        <v>0.83465565152226129</v>
      </c>
      <c r="BM287" s="43">
        <f t="shared" si="304"/>
        <v>130.5186435243522</v>
      </c>
    </row>
    <row r="288" spans="14:65" x14ac:dyDescent="0.25">
      <c r="N288" s="9">
        <v>70</v>
      </c>
      <c r="O288" s="34">
        <f t="shared" si="305"/>
        <v>5011.8723362727324</v>
      </c>
      <c r="P288" s="33" t="str">
        <f t="shared" si="257"/>
        <v>54,631621870174</v>
      </c>
      <c r="Q288" s="4" t="str">
        <f t="shared" si="258"/>
        <v>1+125,509418675817i</v>
      </c>
      <c r="R288" s="4">
        <f t="shared" si="270"/>
        <v>125.51340237736179</v>
      </c>
      <c r="S288" s="4">
        <f t="shared" si="271"/>
        <v>1.5628289658522101</v>
      </c>
      <c r="T288" s="4" t="str">
        <f t="shared" si="259"/>
        <v>1+1,57452613123643i</v>
      </c>
      <c r="U288" s="4">
        <f t="shared" si="272"/>
        <v>1.8652432918915323</v>
      </c>
      <c r="V288" s="4">
        <f t="shared" si="273"/>
        <v>1.0049586842064098</v>
      </c>
      <c r="W288" t="str">
        <f t="shared" si="260"/>
        <v>1-0,125311459866172i</v>
      </c>
      <c r="X288" s="4">
        <f t="shared" si="274"/>
        <v>1.0078208977659628</v>
      </c>
      <c r="Y288" s="4">
        <f t="shared" si="275"/>
        <v>-0.12466165095785153</v>
      </c>
      <c r="Z288" t="str">
        <f t="shared" si="261"/>
        <v>0,99989952454274+0,0172167810611834i</v>
      </c>
      <c r="AA288" s="4">
        <f t="shared" si="276"/>
        <v>1.0000477372260317</v>
      </c>
      <c r="AB288" s="4">
        <f t="shared" si="277"/>
        <v>1.7216809770039483E-2</v>
      </c>
      <c r="AC288" s="47" t="str">
        <f t="shared" si="278"/>
        <v>0,625915674871693-0,526932718503808i</v>
      </c>
      <c r="AD288" s="20">
        <f t="shared" si="279"/>
        <v>-1.7429578789821405</v>
      </c>
      <c r="AE288" s="43">
        <f t="shared" si="280"/>
        <v>-40.092649657599686</v>
      </c>
      <c r="AF288" t="str">
        <f t="shared" si="262"/>
        <v>171,265703090588</v>
      </c>
      <c r="AG288" t="str">
        <f t="shared" si="263"/>
        <v>1+124,308291350654i</v>
      </c>
      <c r="AH288">
        <f t="shared" si="281"/>
        <v>124.3123135434261</v>
      </c>
      <c r="AI288">
        <f t="shared" si="282"/>
        <v>1.5627519846310591</v>
      </c>
      <c r="AJ288" t="str">
        <f t="shared" si="264"/>
        <v>1+1,57452613123643i</v>
      </c>
      <c r="AK288">
        <f t="shared" si="283"/>
        <v>1.8652432918915323</v>
      </c>
      <c r="AL288">
        <f t="shared" si="284"/>
        <v>1.0049586842064098</v>
      </c>
      <c r="AM288" t="str">
        <f t="shared" si="265"/>
        <v>1-0,0395902190893737i</v>
      </c>
      <c r="AN288">
        <f t="shared" si="285"/>
        <v>1.0007833858770561</v>
      </c>
      <c r="AO288">
        <f t="shared" si="286"/>
        <v>-3.95695541421026E-2</v>
      </c>
      <c r="AP288" s="41" t="str">
        <f t="shared" si="287"/>
        <v>2,12639400252081-1,44652699878084i</v>
      </c>
      <c r="AQ288">
        <f t="shared" si="288"/>
        <v>8.2046365293984955</v>
      </c>
      <c r="AR288" s="43">
        <f t="shared" si="289"/>
        <v>-34.226370404561948</v>
      </c>
      <c r="AS288" t="str">
        <f t="shared" si="266"/>
        <v>-0,0000166666666666667</v>
      </c>
      <c r="AT288" t="str">
        <f t="shared" si="267"/>
        <v>0,000104359591978351i</v>
      </c>
      <c r="AU288">
        <f t="shared" si="290"/>
        <v>1.04359591978351E-4</v>
      </c>
      <c r="AV288">
        <f t="shared" si="291"/>
        <v>1.5707963267948966</v>
      </c>
      <c r="AW288" t="str">
        <f t="shared" si="268"/>
        <v>1+0,0351203897468308i</v>
      </c>
      <c r="AX288">
        <f t="shared" si="292"/>
        <v>1.0006165308328507</v>
      </c>
      <c r="AY288">
        <f t="shared" si="293"/>
        <v>3.5105960771739518E-2</v>
      </c>
      <c r="AZ288" t="str">
        <f t="shared" si="269"/>
        <v>1+8,31349797292837i</v>
      </c>
      <c r="BA288">
        <f t="shared" si="294"/>
        <v>8.3734251382504237</v>
      </c>
      <c r="BB288">
        <f t="shared" si="295"/>
        <v>1.4510851640115723</v>
      </c>
      <c r="BC288" s="41" t="str">
        <f t="shared" si="296"/>
        <v>-1,3204630752708+0,20607939239028i</v>
      </c>
      <c r="BD288">
        <f t="shared" si="297"/>
        <v>2.5190369130063166</v>
      </c>
      <c r="BE288" s="43">
        <f t="shared" si="298"/>
        <v>171.1296322239395</v>
      </c>
      <c r="BF288" s="41" t="str">
        <f t="shared" si="299"/>
        <v>-0,717908562441451+0,824783519901452i</v>
      </c>
      <c r="BG288" s="20">
        <f t="shared" si="300"/>
        <v>0.77607903402418033</v>
      </c>
      <c r="BH288" s="43">
        <f t="shared" si="301"/>
        <v>131.03698256633984</v>
      </c>
      <c r="BI288" s="41" t="str">
        <f t="shared" si="255"/>
        <v>-2,50972535882112+2,34829147329421i</v>
      </c>
      <c r="BJ288" s="20">
        <f t="shared" si="302"/>
        <v>10.723673442404802</v>
      </c>
      <c r="BK288" s="43">
        <f t="shared" si="256"/>
        <v>136.90326181937758</v>
      </c>
      <c r="BL288">
        <f t="shared" si="303"/>
        <v>0.77607903402418033</v>
      </c>
      <c r="BM288" s="43">
        <f t="shared" si="304"/>
        <v>131.03698256633984</v>
      </c>
    </row>
    <row r="289" spans="14:65" x14ac:dyDescent="0.25">
      <c r="N289" s="9">
        <v>71</v>
      </c>
      <c r="O289" s="34">
        <f t="shared" si="305"/>
        <v>5128.6138399136489</v>
      </c>
      <c r="P289" s="33" t="str">
        <f t="shared" si="257"/>
        <v>54,631621870174</v>
      </c>
      <c r="Q289" s="4" t="str">
        <f t="shared" si="258"/>
        <v>1+128,432908596195i</v>
      </c>
      <c r="R289" s="4">
        <f t="shared" si="270"/>
        <v>128.43680162040232</v>
      </c>
      <c r="S289" s="4">
        <f t="shared" si="271"/>
        <v>1.5630103177140784</v>
      </c>
      <c r="T289" s="4" t="str">
        <f t="shared" si="259"/>
        <v>1+1,61120155625717i</v>
      </c>
      <c r="U289" s="4">
        <f t="shared" si="272"/>
        <v>1.8963044204150152</v>
      </c>
      <c r="V289" s="4">
        <f t="shared" si="273"/>
        <v>1.0153277443532094</v>
      </c>
      <c r="W289" t="str">
        <f t="shared" si="260"/>
        <v>1-0,128230338733525i</v>
      </c>
      <c r="X289" s="4">
        <f t="shared" si="274"/>
        <v>1.0081879883095783</v>
      </c>
      <c r="Y289" s="4">
        <f t="shared" si="275"/>
        <v>-0.12753436099127441</v>
      </c>
      <c r="Z289" t="str">
        <f t="shared" si="261"/>
        <v>0,999894789280324+0,017617811409541i</v>
      </c>
      <c r="AA289" s="4">
        <f t="shared" si="276"/>
        <v>1.0000499872050426</v>
      </c>
      <c r="AB289" s="4">
        <f t="shared" si="277"/>
        <v>1.7617842169796193E-2</v>
      </c>
      <c r="AC289" s="47" t="str">
        <f t="shared" si="278"/>
        <v>0,625685917080973-0,51939005319652i</v>
      </c>
      <c r="AD289" s="20">
        <f t="shared" si="279"/>
        <v>-1.7963504122716216</v>
      </c>
      <c r="AE289" s="43">
        <f t="shared" si="280"/>
        <v>-39.696508594596693</v>
      </c>
      <c r="AF289" t="str">
        <f t="shared" si="262"/>
        <v>171,265703090588</v>
      </c>
      <c r="AG289" t="str">
        <f t="shared" si="263"/>
        <v>1+127,203803421518i</v>
      </c>
      <c r="AH289">
        <f t="shared" si="281"/>
        <v>127.20773406086676</v>
      </c>
      <c r="AI289">
        <f t="shared" si="282"/>
        <v>1.5629350885824453</v>
      </c>
      <c r="AJ289" t="str">
        <f t="shared" si="264"/>
        <v>1+1,61120155625717i</v>
      </c>
      <c r="AK289">
        <f t="shared" si="283"/>
        <v>1.8963044204150152</v>
      </c>
      <c r="AL289">
        <f t="shared" si="284"/>
        <v>1.0153277443532094</v>
      </c>
      <c r="AM289" t="str">
        <f t="shared" si="265"/>
        <v>1-0,0405123937570157i</v>
      </c>
      <c r="AN289">
        <f t="shared" si="285"/>
        <v>1.0008202905856394</v>
      </c>
      <c r="AO289">
        <f t="shared" si="286"/>
        <v>-4.0490251847147184E-2</v>
      </c>
      <c r="AP289" s="41" t="str">
        <f t="shared" si="287"/>
        <v>2,12590139438641-1,41755931270386i</v>
      </c>
      <c r="AQ289">
        <f t="shared" si="288"/>
        <v>8.1484208841236008</v>
      </c>
      <c r="AR289" s="43">
        <f t="shared" si="289"/>
        <v>-33.695510196966268</v>
      </c>
      <c r="AS289" t="str">
        <f t="shared" si="266"/>
        <v>-0,0000166666666666667</v>
      </c>
      <c r="AT289" t="str">
        <f t="shared" si="267"/>
        <v>0,000106790439148725i</v>
      </c>
      <c r="AU289">
        <f t="shared" si="290"/>
        <v>1.0679043914872501E-4</v>
      </c>
      <c r="AV289">
        <f t="shared" si="291"/>
        <v>1.5707963267948966</v>
      </c>
      <c r="AW289" t="str">
        <f t="shared" si="268"/>
        <v>1+0,0359384487141007i</v>
      </c>
      <c r="AX289">
        <f t="shared" si="292"/>
        <v>1.0006455776627288</v>
      </c>
      <c r="AY289">
        <f t="shared" si="293"/>
        <v>3.5922988327411878E-2</v>
      </c>
      <c r="AZ289" t="str">
        <f t="shared" si="269"/>
        <v>1+8,50714421703783i</v>
      </c>
      <c r="BA289">
        <f t="shared" si="294"/>
        <v>8.565716708453543</v>
      </c>
      <c r="BB289">
        <f t="shared" si="295"/>
        <v>1.4537850334117832</v>
      </c>
      <c r="BC289" s="41" t="str">
        <f t="shared" si="296"/>
        <v>-1,3203864153415+0,203521542263007i</v>
      </c>
      <c r="BD289">
        <f t="shared" si="297"/>
        <v>2.5159960763691451</v>
      </c>
      <c r="BE289" s="43">
        <f t="shared" si="298"/>
        <v>171.23751111512217</v>
      </c>
      <c r="BF289" s="41" t="str">
        <f t="shared" si="299"/>
        <v>-0,720440120521584+0,813136133320747i</v>
      </c>
      <c r="BG289" s="20">
        <f t="shared" si="300"/>
        <v>0.71964566409752173</v>
      </c>
      <c r="BH289" s="43">
        <f t="shared" si="301"/>
        <v>131.5410025205255</v>
      </c>
      <c r="BI289" s="41" t="str">
        <f t="shared" si="255"/>
        <v>-2,51850746393259+2,30439278991961i</v>
      </c>
      <c r="BJ289" s="20">
        <f t="shared" si="302"/>
        <v>10.664416960492748</v>
      </c>
      <c r="BK289" s="43">
        <f t="shared" si="256"/>
        <v>137.54200091815588</v>
      </c>
      <c r="BL289">
        <f t="shared" si="303"/>
        <v>0.71964566409752173</v>
      </c>
      <c r="BM289" s="43">
        <f t="shared" si="304"/>
        <v>131.5410025205255</v>
      </c>
    </row>
    <row r="290" spans="14:65" x14ac:dyDescent="0.25">
      <c r="N290" s="9">
        <v>72</v>
      </c>
      <c r="O290" s="34">
        <f t="shared" si="305"/>
        <v>5248.0746024977261</v>
      </c>
      <c r="P290" s="33" t="str">
        <f t="shared" si="257"/>
        <v>54,631621870174</v>
      </c>
      <c r="Q290" s="4" t="str">
        <f t="shared" si="258"/>
        <v>1+131,424495344721i</v>
      </c>
      <c r="R290" s="4">
        <f t="shared" si="270"/>
        <v>131.42829975547352</v>
      </c>
      <c r="S290" s="4">
        <f t="shared" si="271"/>
        <v>1.5631875419984709</v>
      </c>
      <c r="T290" s="4" t="str">
        <f t="shared" si="259"/>
        <v>1+1,64873126166981i</v>
      </c>
      <c r="U290" s="4">
        <f t="shared" si="272"/>
        <v>1.9282932280146927</v>
      </c>
      <c r="V290" s="4">
        <f t="shared" si="273"/>
        <v>1.0255913899379967</v>
      </c>
      <c r="W290" t="str">
        <f t="shared" si="260"/>
        <v>1-0,131217207023803i</v>
      </c>
      <c r="X290" s="4">
        <f t="shared" si="274"/>
        <v>1.0085722360937404</v>
      </c>
      <c r="Y290" s="4">
        <f t="shared" si="275"/>
        <v>-0.13047179534139122</v>
      </c>
      <c r="Z290" t="str">
        <f t="shared" si="261"/>
        <v>0,999889830851866+0,0180281829547072i</v>
      </c>
      <c r="AA290" s="4">
        <f t="shared" si="276"/>
        <v>1.0000523432409034</v>
      </c>
      <c r="AB290" s="4">
        <f t="shared" si="277"/>
        <v>1.8028215912851836E-2</v>
      </c>
      <c r="AC290" s="47" t="str">
        <f t="shared" si="278"/>
        <v>0,625459546478292-0,512122586004504i</v>
      </c>
      <c r="AD290" s="20">
        <f t="shared" si="279"/>
        <v>-1.8477488561630129</v>
      </c>
      <c r="AE290" s="43">
        <f t="shared" si="280"/>
        <v>-39.310414498051742</v>
      </c>
      <c r="AF290" t="str">
        <f t="shared" si="262"/>
        <v>171,265703090588</v>
      </c>
      <c r="AG290" t="str">
        <f t="shared" si="263"/>
        <v>1+130,166760632698i</v>
      </c>
      <c r="AH290">
        <f t="shared" si="281"/>
        <v>130.17060180244266</v>
      </c>
      <c r="AI290">
        <f t="shared" si="282"/>
        <v>1.5631140250884124</v>
      </c>
      <c r="AJ290" t="str">
        <f t="shared" si="264"/>
        <v>1+1,64873126166981i</v>
      </c>
      <c r="AK290">
        <f t="shared" si="283"/>
        <v>1.9282932280146927</v>
      </c>
      <c r="AL290">
        <f t="shared" si="284"/>
        <v>1.0255913899379967</v>
      </c>
      <c r="AM290" t="str">
        <f t="shared" si="265"/>
        <v>1-0,0414560486320728i</v>
      </c>
      <c r="AN290">
        <f t="shared" si="285"/>
        <v>1.0008589331010562</v>
      </c>
      <c r="AO290">
        <f t="shared" si="286"/>
        <v>-4.1432324247736581E-2</v>
      </c>
      <c r="AP290" s="41" t="str">
        <f t="shared" si="287"/>
        <v>2,12543095459165-1,38934288667574i</v>
      </c>
      <c r="AQ290">
        <f t="shared" si="288"/>
        <v>8.0940686991669715</v>
      </c>
      <c r="AR290" s="43">
        <f t="shared" si="289"/>
        <v>-33.171675701682034</v>
      </c>
      <c r="AS290" t="str">
        <f t="shared" si="266"/>
        <v>-0,0000166666666666667</v>
      </c>
      <c r="AT290" t="str">
        <f t="shared" si="267"/>
        <v>0,000109277908023475i</v>
      </c>
      <c r="AU290">
        <f t="shared" si="290"/>
        <v>1.09277908023475E-4</v>
      </c>
      <c r="AV290">
        <f t="shared" si="291"/>
        <v>1.5707963267948966</v>
      </c>
      <c r="AW290" t="str">
        <f t="shared" si="268"/>
        <v>1+0,0367755627225805i</v>
      </c>
      <c r="AX290">
        <f t="shared" si="292"/>
        <v>1.0006759925238351</v>
      </c>
      <c r="AY290">
        <f t="shared" si="293"/>
        <v>3.6758997224130396E-2</v>
      </c>
      <c r="AZ290" t="str">
        <f t="shared" si="269"/>
        <v>1+8,70530106161657i</v>
      </c>
      <c r="BA290">
        <f t="shared" si="294"/>
        <v>8.7625490910683386</v>
      </c>
      <c r="BB290">
        <f t="shared" si="295"/>
        <v>1.4564251032253532</v>
      </c>
      <c r="BC290" s="41" t="str">
        <f t="shared" si="296"/>
        <v>-1,32030615208062+0,201071342551377i</v>
      </c>
      <c r="BD290">
        <f t="shared" si="297"/>
        <v>2.5130672119481048</v>
      </c>
      <c r="BE290" s="43">
        <f t="shared" si="298"/>
        <v>171.34087619164225</v>
      </c>
      <c r="BF290" s="41" t="str">
        <f t="shared" si="299"/>
        <v>-0,722824911174035+0,801920591643149i</v>
      </c>
      <c r="BG290" s="20">
        <f t="shared" si="300"/>
        <v>0.66531835578509502</v>
      </c>
      <c r="BH290" s="43">
        <f t="shared" si="301"/>
        <v>132.03046169359047</v>
      </c>
      <c r="BI290" s="41" t="str">
        <f t="shared" si="255"/>
        <v>-2,52686252568184+2,26172121616743i</v>
      </c>
      <c r="BJ290" s="20">
        <f t="shared" si="302"/>
        <v>10.60713591111508</v>
      </c>
      <c r="BK290" s="43">
        <f t="shared" si="256"/>
        <v>138.16920048996013</v>
      </c>
      <c r="BL290">
        <f t="shared" si="303"/>
        <v>0.66531835578509502</v>
      </c>
      <c r="BM290" s="43">
        <f t="shared" si="304"/>
        <v>132.03046169359047</v>
      </c>
    </row>
    <row r="291" spans="14:65" x14ac:dyDescent="0.25">
      <c r="N291" s="9">
        <v>73</v>
      </c>
      <c r="O291" s="34">
        <f t="shared" si="305"/>
        <v>5370.3179637025269</v>
      </c>
      <c r="P291" s="33" t="str">
        <f t="shared" si="257"/>
        <v>54,631621870174</v>
      </c>
      <c r="Q291" s="4" t="str">
        <f t="shared" si="258"/>
        <v>1+134,485765100287i</v>
      </c>
      <c r="R291" s="4">
        <f t="shared" si="270"/>
        <v>134.48948291449997</v>
      </c>
      <c r="S291" s="4">
        <f t="shared" si="271"/>
        <v>1.5633607326274928</v>
      </c>
      <c r="T291" s="4" t="str">
        <f t="shared" si="259"/>
        <v>1+1,68713514622091i</v>
      </c>
      <c r="U291" s="4">
        <f t="shared" si="272"/>
        <v>1.9612304815125254</v>
      </c>
      <c r="V291" s="4">
        <f t="shared" si="273"/>
        <v>1.0357464128914744</v>
      </c>
      <c r="W291" t="str">
        <f t="shared" si="260"/>
        <v>1-0,134273648414111i</v>
      </c>
      <c r="X291" s="4">
        <f t="shared" si="274"/>
        <v>1.0089744360777613</v>
      </c>
      <c r="Y291" s="4">
        <f t="shared" si="275"/>
        <v>-0.13347530860134224</v>
      </c>
      <c r="Z291" t="str">
        <f t="shared" si="261"/>
        <v>0,999884638739875+0,0184481132811072i</v>
      </c>
      <c r="AA291" s="4">
        <f t="shared" si="276"/>
        <v>1.0000548103337152</v>
      </c>
      <c r="AB291" s="4">
        <f t="shared" si="277"/>
        <v>1.8448148594081119E-2</v>
      </c>
      <c r="AC291" s="47" t="str">
        <f t="shared" si="278"/>
        <v>0,625236083111209-0,505126465031346i</v>
      </c>
      <c r="AD291" s="20">
        <f t="shared" si="279"/>
        <v>-1.8971847181501778</v>
      </c>
      <c r="AE291" s="43">
        <f t="shared" si="280"/>
        <v>-38.934646637873946</v>
      </c>
      <c r="AF291" t="str">
        <f t="shared" si="262"/>
        <v>171,265703090588</v>
      </c>
      <c r="AG291" t="str">
        <f t="shared" si="263"/>
        <v>1+133,198733983326i</v>
      </c>
      <c r="AH291">
        <f t="shared" si="281"/>
        <v>133.20248771986522</v>
      </c>
      <c r="AI291">
        <f t="shared" si="282"/>
        <v>1.5632888889776042</v>
      </c>
      <c r="AJ291" t="str">
        <f t="shared" si="264"/>
        <v>1+1,68713514622091i</v>
      </c>
      <c r="AK291">
        <f t="shared" si="283"/>
        <v>1.9612304815125254</v>
      </c>
      <c r="AL291">
        <f t="shared" si="284"/>
        <v>1.0357464128914744</v>
      </c>
      <c r="AM291" t="str">
        <f t="shared" si="265"/>
        <v>1-0,0424216840528502i</v>
      </c>
      <c r="AN291">
        <f t="shared" si="285"/>
        <v>1.0008993951830922</v>
      </c>
      <c r="AO291">
        <f t="shared" si="286"/>
        <v>-4.2396264150596982E-2</v>
      </c>
      <c r="AP291" s="41" t="str">
        <f t="shared" si="287"/>
        <v>2,12498168563256-1,36186278324294i</v>
      </c>
      <c r="AQ291">
        <f t="shared" si="288"/>
        <v>8.0415425431828105</v>
      </c>
      <c r="AR291" s="43">
        <f t="shared" si="289"/>
        <v>-32.655084396567354</v>
      </c>
      <c r="AS291" t="str">
        <f t="shared" si="266"/>
        <v>-0,0000166666666666667</v>
      </c>
      <c r="AT291" t="str">
        <f t="shared" si="267"/>
        <v>0,000111823317491522i</v>
      </c>
      <c r="AU291">
        <f t="shared" si="290"/>
        <v>1.1182331749152199E-4</v>
      </c>
      <c r="AV291">
        <f t="shared" si="291"/>
        <v>1.5707963267948966</v>
      </c>
      <c r="AW291" t="str">
        <f t="shared" si="268"/>
        <v>1+0,0376321756211979i</v>
      </c>
      <c r="AX291">
        <f t="shared" si="292"/>
        <v>1.0007078398023994</v>
      </c>
      <c r="AY291">
        <f t="shared" si="293"/>
        <v>3.7614426047843139E-2</v>
      </c>
      <c r="AZ291" t="str">
        <f t="shared" si="269"/>
        <v>1+8,90807357204643i</v>
      </c>
      <c r="BA291">
        <f t="shared" si="294"/>
        <v>8.9640267048348345</v>
      </c>
      <c r="BB291">
        <f t="shared" si="295"/>
        <v>1.4590066259631744</v>
      </c>
      <c r="BC291" s="41" t="str">
        <f t="shared" si="296"/>
        <v>-1,32022211658683+0,198727475625687i</v>
      </c>
      <c r="BD291">
        <f t="shared" si="297"/>
        <v>2.5102443335764999</v>
      </c>
      <c r="BE291" s="43">
        <f t="shared" si="298"/>
        <v>171.43977408796383</v>
      </c>
      <c r="BF291" s="41" t="str">
        <f t="shared" si="299"/>
        <v>-0,725067997744133+0,79113071927449i</v>
      </c>
      <c r="BG291" s="20">
        <f t="shared" si="300"/>
        <v>0.61305961542632259</v>
      </c>
      <c r="BH291" s="43">
        <f t="shared" si="301"/>
        <v>132.50512745008984</v>
      </c>
      <c r="BI291" s="41" t="str">
        <f t="shared" si="255"/>
        <v>-2,53480826565163+2,2202536123304i</v>
      </c>
      <c r="BJ291" s="20">
        <f t="shared" si="302"/>
        <v>10.551786876759312</v>
      </c>
      <c r="BK291" s="43">
        <f t="shared" si="256"/>
        <v>138.78468969139655</v>
      </c>
      <c r="BL291">
        <f t="shared" si="303"/>
        <v>0.61305961542632259</v>
      </c>
      <c r="BM291" s="43">
        <f t="shared" si="304"/>
        <v>132.50512745008984</v>
      </c>
    </row>
    <row r="292" spans="14:65" x14ac:dyDescent="0.25">
      <c r="N292" s="9">
        <v>74</v>
      </c>
      <c r="O292" s="34">
        <f t="shared" si="305"/>
        <v>5495.4087385762541</v>
      </c>
      <c r="P292" s="33" t="str">
        <f t="shared" si="257"/>
        <v>54,631621870174</v>
      </c>
      <c r="Q292" s="4" t="str">
        <f t="shared" si="258"/>
        <v>1+137,61834098864i</v>
      </c>
      <c r="R292" s="4">
        <f t="shared" si="270"/>
        <v>137.62197417732963</v>
      </c>
      <c r="S292" s="4">
        <f t="shared" si="271"/>
        <v>1.5635299813875254</v>
      </c>
      <c r="T292" s="4" t="str">
        <f t="shared" si="259"/>
        <v>1+1,72643357215843i</v>
      </c>
      <c r="U292" s="4">
        <f t="shared" si="272"/>
        <v>1.9951373083263511</v>
      </c>
      <c r="V292" s="4">
        <f t="shared" si="273"/>
        <v>1.0457898191968269</v>
      </c>
      <c r="W292" t="str">
        <f t="shared" si="260"/>
        <v>1-0,137401283470129i</v>
      </c>
      <c r="X292" s="4">
        <f t="shared" si="274"/>
        <v>1.0093954193967984</v>
      </c>
      <c r="Y292" s="4">
        <f t="shared" si="275"/>
        <v>-0.13654627639911573</v>
      </c>
      <c r="Z292" t="str">
        <f t="shared" si="261"/>
        <v>0,999879201931184+0,0188778250413585i</v>
      </c>
      <c r="AA292" s="4">
        <f t="shared" si="276"/>
        <v>1.0000573937193973</v>
      </c>
      <c r="AB292" s="4">
        <f t="shared" si="277"/>
        <v>1.8877862877295107E-2</v>
      </c>
      <c r="AC292" s="47" t="str">
        <f t="shared" si="278"/>
        <v>0,625015053193663-0,498397981354999i</v>
      </c>
      <c r="AD292" s="20">
        <f t="shared" si="279"/>
        <v>-1.9446899066010084</v>
      </c>
      <c r="AE292" s="43">
        <f t="shared" si="280"/>
        <v>-38.569473392937589</v>
      </c>
      <c r="AF292" t="str">
        <f t="shared" si="262"/>
        <v>171,265703090588</v>
      </c>
      <c r="AG292" t="str">
        <f t="shared" si="263"/>
        <v>1+136,301331065806i</v>
      </c>
      <c r="AH292">
        <f t="shared" si="281"/>
        <v>136.30499935919613</v>
      </c>
      <c r="AI292">
        <f t="shared" si="282"/>
        <v>1.56345977292237</v>
      </c>
      <c r="AJ292" t="str">
        <f t="shared" si="264"/>
        <v>1+1,72643357215843i</v>
      </c>
      <c r="AK292">
        <f t="shared" si="283"/>
        <v>1.9951373083263511</v>
      </c>
      <c r="AL292">
        <f t="shared" si="284"/>
        <v>1.0457898191968269</v>
      </c>
      <c r="AM292" t="str">
        <f t="shared" si="265"/>
        <v>1-0,0434098120120298i</v>
      </c>
      <c r="AN292">
        <f t="shared" si="285"/>
        <v>1.0009417624312216</v>
      </c>
      <c r="AO292">
        <f t="shared" si="286"/>
        <v>-4.3382575479950544E-2</v>
      </c>
      <c r="AP292" s="41" t="str">
        <f t="shared" si="287"/>
        <v>2,12455263487953-1,33510445380705i</v>
      </c>
      <c r="AQ292">
        <f t="shared" si="288"/>
        <v>7.9908043264601609</v>
      </c>
      <c r="AR292" s="43">
        <f t="shared" si="289"/>
        <v>-32.145942008615187</v>
      </c>
      <c r="AS292" t="str">
        <f t="shared" si="266"/>
        <v>-0,0000166666666666667</v>
      </c>
      <c r="AT292" t="str">
        <f t="shared" si="267"/>
        <v>0,000114428017162661i</v>
      </c>
      <c r="AU292">
        <f t="shared" si="290"/>
        <v>1.14428017162661E-4</v>
      </c>
      <c r="AV292">
        <f t="shared" si="291"/>
        <v>1.5707963267948966</v>
      </c>
      <c r="AW292" t="str">
        <f t="shared" si="268"/>
        <v>1+0,0385087415974505i</v>
      </c>
      <c r="AX292">
        <f t="shared" si="292"/>
        <v>1.0007411869106912</v>
      </c>
      <c r="AY292">
        <f t="shared" si="293"/>
        <v>3.8489723347638567E-2</v>
      </c>
      <c r="AZ292" t="str">
        <f t="shared" si="269"/>
        <v>1+9,11556926099651i</v>
      </c>
      <c r="BA292">
        <f t="shared" si="294"/>
        <v>9.1702564278227499</v>
      </c>
      <c r="BB292">
        <f t="shared" si="295"/>
        <v>1.461530832676792</v>
      </c>
      <c r="BC292" s="41" t="str">
        <f t="shared" si="296"/>
        <v>-1,32013413208704+0,196488678918247i</v>
      </c>
      <c r="BD292">
        <f t="shared" si="297"/>
        <v>2.5075216607179991</v>
      </c>
      <c r="BE292" s="43">
        <f t="shared" si="298"/>
        <v>171.53424963817523</v>
      </c>
      <c r="BF292" s="41" t="str">
        <f t="shared" si="299"/>
        <v>-0,727174143857187+0,780760568656055i</v>
      </c>
      <c r="BG292" s="20">
        <f t="shared" si="300"/>
        <v>0.56283175411699349</v>
      </c>
      <c r="BH292" s="43">
        <f t="shared" si="301"/>
        <v>132.96477624523763</v>
      </c>
      <c r="BI292" s="41" t="str">
        <f t="shared" si="255"/>
        <v>-2,54236153837351+2,17996749989187i</v>
      </c>
      <c r="BJ292" s="20">
        <f t="shared" si="302"/>
        <v>10.498325987178166</v>
      </c>
      <c r="BK292" s="43">
        <f t="shared" si="256"/>
        <v>139.38830762956007</v>
      </c>
      <c r="BL292">
        <f t="shared" si="303"/>
        <v>0.56283175411699349</v>
      </c>
      <c r="BM292" s="43">
        <f t="shared" si="304"/>
        <v>132.96477624523763</v>
      </c>
    </row>
    <row r="293" spans="14:65" x14ac:dyDescent="0.25">
      <c r="N293" s="9">
        <v>75</v>
      </c>
      <c r="O293" s="34">
        <f t="shared" si="305"/>
        <v>5623.4132519034993</v>
      </c>
      <c r="P293" s="33" t="str">
        <f t="shared" si="257"/>
        <v>54,631621870174</v>
      </c>
      <c r="Q293" s="4" t="str">
        <f t="shared" si="258"/>
        <v>1+140,823883942978i</v>
      </c>
      <c r="R293" s="4">
        <f t="shared" si="270"/>
        <v>140.82743443230564</v>
      </c>
      <c r="S293" s="4">
        <f t="shared" si="271"/>
        <v>1.5636953779776939</v>
      </c>
      <c r="T293" s="4" t="str">
        <f t="shared" si="259"/>
        <v>1+1,76664737602795i</v>
      </c>
      <c r="U293" s="4">
        <f t="shared" si="272"/>
        <v>2.0300352093563405</v>
      </c>
      <c r="V293" s="4">
        <f t="shared" si="273"/>
        <v>1.0557188288059287</v>
      </c>
      <c r="W293" t="str">
        <f t="shared" si="260"/>
        <v>1-0,140601770505365i</v>
      </c>
      <c r="X293" s="4">
        <f t="shared" si="274"/>
        <v>1.0098360549461696</v>
      </c>
      <c r="Y293" s="4">
        <f t="shared" si="275"/>
        <v>-0.13968609518578867</v>
      </c>
      <c r="Z293" t="str">
        <f t="shared" si="261"/>
        <v>0,999873508893593+0,0193175460743243i</v>
      </c>
      <c r="AA293" s="4">
        <f t="shared" si="276"/>
        <v>1.0000600988808221</v>
      </c>
      <c r="AB293" s="4">
        <f t="shared" si="277"/>
        <v>1.9317586613347308E-2</v>
      </c>
      <c r="AC293" s="47" t="str">
        <f t="shared" si="278"/>
        <v>0,624795988102795-0,491933567063746i</v>
      </c>
      <c r="AD293" s="20">
        <f t="shared" si="279"/>
        <v>-1.9902966091785923</v>
      </c>
      <c r="AE293" s="43">
        <f t="shared" si="280"/>
        <v>-38.215152253293468</v>
      </c>
      <c r="AF293" t="str">
        <f t="shared" si="262"/>
        <v>171,265703090588</v>
      </c>
      <c r="AG293" t="str">
        <f t="shared" si="263"/>
        <v>1+139,476196918179i</v>
      </c>
      <c r="AH293">
        <f t="shared" si="281"/>
        <v>139.47978171318826</v>
      </c>
      <c r="AI293">
        <f t="shared" si="282"/>
        <v>1.5636267674876956</v>
      </c>
      <c r="AJ293" t="str">
        <f t="shared" si="264"/>
        <v>1+1,76664737602795i</v>
      </c>
      <c r="AK293">
        <f t="shared" si="283"/>
        <v>2.0300352093563405</v>
      </c>
      <c r="AL293">
        <f t="shared" si="284"/>
        <v>1.0557188288059287</v>
      </c>
      <c r="AM293" t="str">
        <f t="shared" si="265"/>
        <v>1-0,044420956428135i</v>
      </c>
      <c r="AN293">
        <f t="shared" si="285"/>
        <v>1.0009861244642657</v>
      </c>
      <c r="AO293">
        <f t="shared" si="286"/>
        <v>-4.439177351079851E-2</v>
      </c>
      <c r="AP293" s="41" t="str">
        <f t="shared" si="287"/>
        <v>2,12414289255938-1,30905373101459i</v>
      </c>
      <c r="AQ293">
        <f t="shared" si="288"/>
        <v>7.9418154123787303</v>
      </c>
      <c r="AR293" s="43">
        <f t="shared" si="289"/>
        <v>-31.644442534924089</v>
      </c>
      <c r="AS293" t="str">
        <f t="shared" si="266"/>
        <v>-0,0000166666666666667</v>
      </c>
      <c r="AT293" t="str">
        <f t="shared" si="267"/>
        <v>0,000117093388083133i</v>
      </c>
      <c r="AU293">
        <f t="shared" si="290"/>
        <v>1.17093388083133E-4</v>
      </c>
      <c r="AV293">
        <f t="shared" si="291"/>
        <v>1.5707963267948966</v>
      </c>
      <c r="AW293" t="str">
        <f t="shared" si="268"/>
        <v>1+0,0394057254182215i</v>
      </c>
      <c r="AX293">
        <f t="shared" si="292"/>
        <v>1.0007761044288259</v>
      </c>
      <c r="AY293">
        <f t="shared" si="293"/>
        <v>3.9385347849829555E-2</v>
      </c>
      <c r="AZ293" t="str">
        <f t="shared" si="269"/>
        <v>1+9,32789814542757i</v>
      </c>
      <c r="BA293">
        <f t="shared" si="294"/>
        <v>9.3813476543336307</v>
      </c>
      <c r="BB293">
        <f t="shared" si="295"/>
        <v>1.4639989329979213</v>
      </c>
      <c r="BC293" s="41" t="str">
        <f t="shared" si="296"/>
        <v>-1,32004201357394+0,194353744160519i</v>
      </c>
      <c r="BD293">
        <f t="shared" si="297"/>
        <v>2.5048936078910131</v>
      </c>
      <c r="BE293" s="43">
        <f t="shared" si="298"/>
        <v>171.62434586598684</v>
      </c>
      <c r="BF293" s="41" t="str">
        <f t="shared" si="299"/>
        <v>-0,729147823571054+0,770804416035687i</v>
      </c>
      <c r="BG293" s="20">
        <f t="shared" si="300"/>
        <v>0.51459699871241837</v>
      </c>
      <c r="BH293" s="43">
        <f t="shared" si="301"/>
        <v>133.4091936126934</v>
      </c>
      <c r="BI293" s="41" t="str">
        <f t="shared" si="255"/>
        <v>-2,54953836708287+2,14084104726585i</v>
      </c>
      <c r="BJ293" s="20">
        <f t="shared" si="302"/>
        <v>10.446709020269736</v>
      </c>
      <c r="BK293" s="43">
        <f t="shared" si="256"/>
        <v>139.97990333106267</v>
      </c>
      <c r="BL293">
        <f t="shared" si="303"/>
        <v>0.51459699871241837</v>
      </c>
      <c r="BM293" s="43">
        <f t="shared" si="304"/>
        <v>133.4091936126934</v>
      </c>
    </row>
    <row r="294" spans="14:65" x14ac:dyDescent="0.25">
      <c r="N294" s="9">
        <v>76</v>
      </c>
      <c r="O294" s="34">
        <f t="shared" si="305"/>
        <v>5754.399373371567</v>
      </c>
      <c r="P294" s="33" t="str">
        <f t="shared" si="257"/>
        <v>54,631621870174</v>
      </c>
      <c r="Q294" s="4" t="str">
        <f t="shared" si="258"/>
        <v>1+144,104093584608i</v>
      </c>
      <c r="R294" s="4">
        <f t="shared" si="270"/>
        <v>144.10756325690008</v>
      </c>
      <c r="S294" s="4">
        <f t="shared" si="271"/>
        <v>1.563857010057242</v>
      </c>
      <c r="T294" s="4" t="str">
        <f t="shared" si="259"/>
        <v>1+1,80779787972058i</v>
      </c>
      <c r="U294" s="4">
        <f t="shared" si="272"/>
        <v>2.0659460723654486</v>
      </c>
      <c r="V294" s="4">
        <f t="shared" si="273"/>
        <v>1.0655308747440027</v>
      </c>
      <c r="W294" t="str">
        <f t="shared" si="260"/>
        <v>1-0,143876806460406i</v>
      </c>
      <c r="X294" s="4">
        <f t="shared" si="274"/>
        <v>1.0102972510292429</v>
      </c>
      <c r="Y294" s="4">
        <f t="shared" si="275"/>
        <v>-0.1428961819745187</v>
      </c>
      <c r="Z294" t="str">
        <f t="shared" si="261"/>
        <v>0,999867547551407+0,0197675095259166i</v>
      </c>
      <c r="AA294" s="4">
        <f t="shared" si="276"/>
        <v>1.0000629315594707</v>
      </c>
      <c r="AB294" s="4">
        <f t="shared" si="277"/>
        <v>1.9767552960993383E-2</v>
      </c>
      <c r="AC294" s="47" t="str">
        <f t="shared" si="278"/>
        <v>0,624578423386725-0,4857297933626i</v>
      </c>
      <c r="AD294" s="20">
        <f t="shared" si="279"/>
        <v>-2.0340371735164666</v>
      </c>
      <c r="AE294" s="43">
        <f t="shared" si="280"/>
        <v>-37.871929866153373</v>
      </c>
      <c r="AF294" t="str">
        <f t="shared" si="262"/>
        <v>171,265703090588</v>
      </c>
      <c r="AG294" t="str">
        <f t="shared" si="263"/>
        <v>1+142,725014896342i</v>
      </c>
      <c r="AH294">
        <f t="shared" si="281"/>
        <v>142.72851809348069</v>
      </c>
      <c r="AI294">
        <f t="shared" si="282"/>
        <v>1.5637899611790327</v>
      </c>
      <c r="AJ294" t="str">
        <f t="shared" si="264"/>
        <v>1+1,80779787972058i</v>
      </c>
      <c r="AK294">
        <f t="shared" si="283"/>
        <v>2.0659460723654486</v>
      </c>
      <c r="AL294">
        <f t="shared" si="284"/>
        <v>1.0655308747440027</v>
      </c>
      <c r="AM294" t="str">
        <f t="shared" si="265"/>
        <v>1-0,0454556534233192i</v>
      </c>
      <c r="AN294">
        <f t="shared" si="285"/>
        <v>1.0010325751083933</v>
      </c>
      <c r="AO294">
        <f t="shared" si="286"/>
        <v>-4.5424385105823487E-2</v>
      </c>
      <c r="AP294" s="41" t="str">
        <f t="shared" si="287"/>
        <v>2,12375158982831-1,28369682134203i</v>
      </c>
      <c r="AQ294">
        <f t="shared" si="288"/>
        <v>7.8945367263160451</v>
      </c>
      <c r="AR294" s="43">
        <f t="shared" si="289"/>
        <v>-31.150768310311861</v>
      </c>
      <c r="AS294" t="str">
        <f t="shared" si="266"/>
        <v>-0,0000166666666666667</v>
      </c>
      <c r="AT294" t="str">
        <f t="shared" si="267"/>
        <v>0,00011982084346788i</v>
      </c>
      <c r="AU294">
        <f t="shared" si="290"/>
        <v>1.1982084346788E-4</v>
      </c>
      <c r="AV294">
        <f t="shared" si="291"/>
        <v>1.5707963267948966</v>
      </c>
      <c r="AW294" t="str">
        <f t="shared" si="268"/>
        <v>1+0,0403236026762056i</v>
      </c>
      <c r="AX294">
        <f t="shared" si="292"/>
        <v>1.0008126662531747</v>
      </c>
      <c r="AY294">
        <f t="shared" si="293"/>
        <v>4.0301768675750103E-2</v>
      </c>
      <c r="AZ294" t="str">
        <f t="shared" si="269"/>
        <v>1+9,54517280492466i</v>
      </c>
      <c r="BA294">
        <f t="shared" si="294"/>
        <v>9.5974123531227562</v>
      </c>
      <c r="BB294">
        <f t="shared" si="295"/>
        <v>1.4664121152047467</v>
      </c>
      <c r="BC294" s="41" t="str">
        <f t="shared" si="296"/>
        <v>-1,31994556742716+0,192321516642439i</v>
      </c>
      <c r="BD294">
        <f t="shared" si="297"/>
        <v>2.5023547743668413</v>
      </c>
      <c r="BE294" s="43">
        <f t="shared" si="298"/>
        <v>171.71010397605076</v>
      </c>
      <c r="BF294" s="41" t="str">
        <f t="shared" si="299"/>
        <v>-0,730993230922038+0,761256757364153i</v>
      </c>
      <c r="BG294" s="20">
        <f t="shared" si="300"/>
        <v>0.46831760085037788</v>
      </c>
      <c r="BH294" s="43">
        <f t="shared" si="301"/>
        <v>133.83817410989741</v>
      </c>
      <c r="BI294" s="41" t="str">
        <f t="shared" si="255"/>
        <v>-2,55635397772068+2,10285305597832i</v>
      </c>
      <c r="BJ294" s="20">
        <f t="shared" si="302"/>
        <v>10.396891500682877</v>
      </c>
      <c r="BK294" s="43">
        <f t="shared" si="256"/>
        <v>140.55933566573884</v>
      </c>
      <c r="BL294">
        <f t="shared" si="303"/>
        <v>0.46831760085037788</v>
      </c>
      <c r="BM294" s="43">
        <f t="shared" si="304"/>
        <v>133.83817410989741</v>
      </c>
    </row>
    <row r="295" spans="14:65" x14ac:dyDescent="0.25">
      <c r="N295" s="9">
        <v>77</v>
      </c>
      <c r="O295" s="34">
        <f t="shared" si="305"/>
        <v>5888.4365535558973</v>
      </c>
      <c r="P295" s="33" t="str">
        <f t="shared" si="257"/>
        <v>54,631621870174</v>
      </c>
      <c r="Q295" s="4" t="str">
        <f t="shared" si="258"/>
        <v>1+147,460709124099i</v>
      </c>
      <c r="R295" s="4">
        <f t="shared" si="270"/>
        <v>147.46409981884452</v>
      </c>
      <c r="S295" s="4">
        <f t="shared" si="271"/>
        <v>1.5640149632918376</v>
      </c>
      <c r="T295" s="4" t="str">
        <f t="shared" si="259"/>
        <v>1+1,84990690177808i</v>
      </c>
      <c r="U295" s="4">
        <f t="shared" si="272"/>
        <v>2.1028921858350644</v>
      </c>
      <c r="V295" s="4">
        <f t="shared" si="273"/>
        <v>1.0752236014497794</v>
      </c>
      <c r="W295" t="str">
        <f t="shared" si="260"/>
        <v>1-0,147228127802668i</v>
      </c>
      <c r="X295" s="4">
        <f t="shared" si="274"/>
        <v>1.0107799570709139</v>
      </c>
      <c r="Y295" s="4">
        <f t="shared" si="275"/>
        <v>-0.14617797402667843</v>
      </c>
      <c r="Z295" t="str">
        <f t="shared" si="261"/>
        <v>0,999861305259819+0,0202279539727136i</v>
      </c>
      <c r="AA295" s="4">
        <f t="shared" si="276"/>
        <v>1.0000658977676378</v>
      </c>
      <c r="AB295" s="4">
        <f t="shared" si="277"/>
        <v>2.0228000510569073E-2</v>
      </c>
      <c r="AC295" s="47" t="str">
        <f t="shared" si="278"/>
        <v>0,624361897781211-0,479783368749231i</v>
      </c>
      <c r="AD295" s="20">
        <f t="shared" si="279"/>
        <v>-2.0759439906095816</v>
      </c>
      <c r="AE295" s="43">
        <f t="shared" si="280"/>
        <v>-37.540042122747522</v>
      </c>
      <c r="AF295" t="str">
        <f t="shared" si="262"/>
        <v>171,265703090588</v>
      </c>
      <c r="AG295" t="str">
        <f t="shared" si="263"/>
        <v>1+146,049507566594i</v>
      </c>
      <c r="AH295">
        <f t="shared" si="281"/>
        <v>146.05293102312118</v>
      </c>
      <c r="AI295">
        <f t="shared" si="282"/>
        <v>1.563949440489047</v>
      </c>
      <c r="AJ295" t="str">
        <f t="shared" si="264"/>
        <v>1+1,84990690177808i</v>
      </c>
      <c r="AK295">
        <f t="shared" si="283"/>
        <v>2.1028921858350644</v>
      </c>
      <c r="AL295">
        <f t="shared" si="284"/>
        <v>1.0752236014497794</v>
      </c>
      <c r="AM295" t="str">
        <f t="shared" si="265"/>
        <v>1-0,0465144516076253i</v>
      </c>
      <c r="AN295">
        <f t="shared" si="285"/>
        <v>1.0010812125938426</v>
      </c>
      <c r="AO295">
        <f t="shared" si="286"/>
        <v>-4.6480948955867997E-2</v>
      </c>
      <c r="AP295" s="41" t="str">
        <f t="shared" si="287"/>
        <v>2,12337789693107-1,25902029787242i</v>
      </c>
      <c r="AQ295">
        <f t="shared" si="288"/>
        <v>7.8489288615435759</v>
      </c>
      <c r="AR295" s="43">
        <f t="shared" si="289"/>
        <v>-30.665090118874428</v>
      </c>
      <c r="AS295" t="str">
        <f t="shared" si="266"/>
        <v>-0,0000166666666666667</v>
      </c>
      <c r="AT295" t="str">
        <f t="shared" si="267"/>
        <v>0,000122611829449851i</v>
      </c>
      <c r="AU295">
        <f t="shared" si="290"/>
        <v>1.2261182944985099E-4</v>
      </c>
      <c r="AV295">
        <f t="shared" si="291"/>
        <v>1.5707963267948966</v>
      </c>
      <c r="AW295" t="str">
        <f t="shared" si="268"/>
        <v>1+0,0412628600420747i</v>
      </c>
      <c r="AX295">
        <f t="shared" si="292"/>
        <v>1.000850949751686</v>
      </c>
      <c r="AY295">
        <f t="shared" si="293"/>
        <v>4.1239465563260608E-2</v>
      </c>
      <c r="AZ295" t="str">
        <f t="shared" si="269"/>
        <v>1+9,76750844138826i</v>
      </c>
      <c r="BA295">
        <f t="shared" si="294"/>
        <v>9.8185651269720111</v>
      </c>
      <c r="BB295">
        <f t="shared" si="295"/>
        <v>1.4687715463127693</v>
      </c>
      <c r="BC295" s="41" t="str">
        <f t="shared" si="296"/>
        <v>-1,31984459101758+0,190390894493077i</v>
      </c>
      <c r="BD295">
        <f t="shared" si="297"/>
        <v>2.4998999341331314</v>
      </c>
      <c r="BE295" s="43">
        <f t="shared" si="298"/>
        <v>171.79156334647547</v>
      </c>
      <c r="BF295" s="41" t="str">
        <f t="shared" si="299"/>
        <v>-0,732714288884935+0,752112304309825i</v>
      </c>
      <c r="BG295" s="20">
        <f t="shared" si="300"/>
        <v>0.42395594352355104</v>
      </c>
      <c r="BH295" s="43">
        <f t="shared" si="301"/>
        <v>134.25152122372799</v>
      </c>
      <c r="BI295" s="41" t="str">
        <f t="shared" si="255"/>
        <v>-2,56282283125389+2,06598294727179i</v>
      </c>
      <c r="BJ295" s="20">
        <f t="shared" si="302"/>
        <v>10.348828795676713</v>
      </c>
      <c r="BK295" s="43">
        <f t="shared" si="256"/>
        <v>141.12647322760111</v>
      </c>
      <c r="BL295">
        <f t="shared" si="303"/>
        <v>0.42395594352355104</v>
      </c>
      <c r="BM295" s="43">
        <f t="shared" si="304"/>
        <v>134.25152122372799</v>
      </c>
    </row>
    <row r="296" spans="14:65" x14ac:dyDescent="0.25">
      <c r="N296" s="9">
        <v>78</v>
      </c>
      <c r="O296" s="34">
        <f t="shared" si="305"/>
        <v>6025.595860743585</v>
      </c>
      <c r="P296" s="33" t="str">
        <f t="shared" si="257"/>
        <v>54,631621870174</v>
      </c>
      <c r="Q296" s="4" t="str">
        <f t="shared" si="258"/>
        <v>1+150,895510283441i</v>
      </c>
      <c r="R296" s="4">
        <f t="shared" si="270"/>
        <v>150.89882379826577</v>
      </c>
      <c r="S296" s="4">
        <f t="shared" si="271"/>
        <v>1.5641693213988319</v>
      </c>
      <c r="T296" s="4" t="str">
        <f t="shared" si="259"/>
        <v>1+1,89299676896131i</v>
      </c>
      <c r="U296" s="4">
        <f t="shared" si="272"/>
        <v>2.140896253277575</v>
      </c>
      <c r="V296" s="4">
        <f t="shared" si="273"/>
        <v>1.0847948624014019</v>
      </c>
      <c r="W296" t="str">
        <f t="shared" si="260"/>
        <v>1-0,150657511447086i</v>
      </c>
      <c r="X296" s="4">
        <f t="shared" si="274"/>
        <v>1.0112851653986767</v>
      </c>
      <c r="Y296" s="4">
        <f t="shared" si="275"/>
        <v>-0.14953292848126551</v>
      </c>
      <c r="Z296" t="str">
        <f t="shared" si="261"/>
        <v>0,999854768778092+0,0206991235484554i</v>
      </c>
      <c r="AA296" s="4">
        <f t="shared" si="276"/>
        <v>1.0000690038012208</v>
      </c>
      <c r="AB296" s="4">
        <f t="shared" si="277"/>
        <v>2.0699173410550633E-2</v>
      </c>
      <c r="AC296" s="47" t="str">
        <f t="shared" si="278"/>
        <v>0,624145952233104-0,474091137258368i</v>
      </c>
      <c r="AD296" s="20">
        <f t="shared" si="279"/>
        <v>-2.1160493813324499</v>
      </c>
      <c r="AE296" s="43">
        <f t="shared" si="280"/>
        <v>-37.219714282961945</v>
      </c>
      <c r="AF296" t="str">
        <f t="shared" si="262"/>
        <v>171,265703090588</v>
      </c>
      <c r="AG296" t="str">
        <f t="shared" si="263"/>
        <v>1+149,45143761895i</v>
      </c>
      <c r="AH296">
        <f t="shared" si="281"/>
        <v>149.45478314985741</v>
      </c>
      <c r="AI296">
        <f t="shared" si="282"/>
        <v>1.5641052899433117</v>
      </c>
      <c r="AJ296" t="str">
        <f t="shared" si="264"/>
        <v>1+1,89299676896131i</v>
      </c>
      <c r="AK296">
        <f t="shared" si="283"/>
        <v>2.140896253277575</v>
      </c>
      <c r="AL296">
        <f t="shared" si="284"/>
        <v>1.0847948624014019</v>
      </c>
      <c r="AM296" t="str">
        <f t="shared" si="265"/>
        <v>1-0,0475979123698652i</v>
      </c>
      <c r="AN296">
        <f t="shared" si="285"/>
        <v>1.0011321397607658</v>
      </c>
      <c r="AO296">
        <f t="shared" si="286"/>
        <v>-4.7562015823934697E-2</v>
      </c>
      <c r="AP296" s="41" t="str">
        <f t="shared" si="287"/>
        <v>2,12302102144336-1,23501109326062i</v>
      </c>
      <c r="AQ296">
        <f t="shared" si="288"/>
        <v>7.8049521817072396</v>
      </c>
      <c r="AR296" s="43">
        <f t="shared" si="289"/>
        <v>-30.187567346608379</v>
      </c>
      <c r="AS296" t="str">
        <f t="shared" si="266"/>
        <v>-0,0000166666666666667</v>
      </c>
      <c r="AT296" t="str">
        <f t="shared" si="267"/>
        <v>0,000125467825846756i</v>
      </c>
      <c r="AU296">
        <f t="shared" si="290"/>
        <v>1.2546782584675601E-4</v>
      </c>
      <c r="AV296">
        <f t="shared" si="291"/>
        <v>1.5707963267948966</v>
      </c>
      <c r="AW296" t="str">
        <f t="shared" si="268"/>
        <v>1+0,0422239955225166i</v>
      </c>
      <c r="AX296">
        <f t="shared" si="292"/>
        <v>1.0008910359264316</v>
      </c>
      <c r="AY296">
        <f t="shared" si="293"/>
        <v>4.2198929091951366E-2</v>
      </c>
      <c r="AZ296" t="str">
        <f t="shared" si="269"/>
        <v>1+9,99502294011571i</v>
      </c>
      <c r="BA296">
        <f t="shared" si="294"/>
        <v>10.04492327364621</v>
      </c>
      <c r="BB296">
        <f t="shared" si="295"/>
        <v>1.47107837218813</v>
      </c>
      <c r="BC296" s="41" t="str">
        <f t="shared" si="296"/>
        <v>-1,3197388722939+0,188560827981802i</v>
      </c>
      <c r="BD296">
        <f t="shared" si="297"/>
        <v>2.4975240261112934</v>
      </c>
      <c r="BE296" s="43">
        <f t="shared" si="298"/>
        <v>171.86876152241447</v>
      </c>
      <c r="BF296" s="41" t="str">
        <f t="shared" si="299"/>
        <v>-0,734314657766647+0,743365980384455i</v>
      </c>
      <c r="BG296" s="20">
        <f t="shared" si="300"/>
        <v>0.38147464477883886</v>
      </c>
      <c r="BH296" s="43">
        <f t="shared" si="301"/>
        <v>134.64904723945256</v>
      </c>
      <c r="BI296" s="41" t="str">
        <f t="shared" si="255"/>
        <v>-2,56895865438397+2,03021074911636i</v>
      </c>
      <c r="BJ296" s="20">
        <f t="shared" si="302"/>
        <v>10.302476207818536</v>
      </c>
      <c r="BK296" s="43">
        <f t="shared" si="256"/>
        <v>141.68119417580607</v>
      </c>
      <c r="BL296">
        <f t="shared" si="303"/>
        <v>0.38147464477883886</v>
      </c>
      <c r="BM296" s="43">
        <f t="shared" si="304"/>
        <v>134.64904723945256</v>
      </c>
    </row>
    <row r="297" spans="14:65" x14ac:dyDescent="0.25">
      <c r="N297" s="9">
        <v>79</v>
      </c>
      <c r="O297" s="34">
        <f t="shared" si="305"/>
        <v>6165.9500186148289</v>
      </c>
      <c r="P297" s="33" t="str">
        <f t="shared" si="257"/>
        <v>54,631621870174</v>
      </c>
      <c r="Q297" s="4" t="str">
        <f t="shared" si="258"/>
        <v>1+154,410318239674i</v>
      </c>
      <c r="R297" s="4">
        <f t="shared" si="270"/>
        <v>154.41355633129302</v>
      </c>
      <c r="S297" s="4">
        <f t="shared" si="271"/>
        <v>1.5643201661914969</v>
      </c>
      <c r="T297" s="4" t="str">
        <f t="shared" si="259"/>
        <v>1+1,93709032808822i</v>
      </c>
      <c r="U297" s="4">
        <f t="shared" si="272"/>
        <v>2.179981407987905</v>
      </c>
      <c r="V297" s="4">
        <f t="shared" si="273"/>
        <v>1.0942427170806168</v>
      </c>
      <c r="W297" t="str">
        <f t="shared" si="260"/>
        <v>1-0,154166775698261i</v>
      </c>
      <c r="X297" s="4">
        <f t="shared" si="274"/>
        <v>1.0118139130933108</v>
      </c>
      <c r="Y297" s="4">
        <f t="shared" si="275"/>
        <v>-0.15296252192359186</v>
      </c>
      <c r="Z297" t="str">
        <f t="shared" si="261"/>
        <v>0,999847924241472+0,021181268073488i</v>
      </c>
      <c r="AA297" s="4">
        <f t="shared" si="276"/>
        <v>1.0000722562531075</v>
      </c>
      <c r="AB297" s="4">
        <f t="shared" si="277"/>
        <v>2.1181321497068199E-2</v>
      </c>
      <c r="AC297" s="47" t="str">
        <f t="shared" si="278"/>
        <v>0,623930128928572-0,46865007677371i</v>
      </c>
      <c r="AD297" s="20">
        <f t="shared" si="279"/>
        <v>-2.154385486443517</v>
      </c>
      <c r="AE297" s="43">
        <f t="shared" si="280"/>
        <v>-36.911161134520015</v>
      </c>
      <c r="AF297" t="str">
        <f t="shared" si="262"/>
        <v>171,265703090588</v>
      </c>
      <c r="AG297" t="str">
        <f t="shared" si="263"/>
        <v>1+152,932608801756i</v>
      </c>
      <c r="AH297">
        <f t="shared" si="281"/>
        <v>152.93587818072953</v>
      </c>
      <c r="AI297">
        <f t="shared" si="282"/>
        <v>1.5642575921449697</v>
      </c>
      <c r="AJ297" t="str">
        <f t="shared" si="264"/>
        <v>1+1,93709032808822i</v>
      </c>
      <c r="AK297">
        <f t="shared" si="283"/>
        <v>2.179981407987905</v>
      </c>
      <c r="AL297">
        <f t="shared" si="284"/>
        <v>1.0942427170806168</v>
      </c>
      <c r="AM297" t="str">
        <f t="shared" si="265"/>
        <v>1-0,0487066101752766i</v>
      </c>
      <c r="AN297">
        <f t="shared" si="285"/>
        <v>1.0011854642746101</v>
      </c>
      <c r="AO297">
        <f t="shared" si="286"/>
        <v>-4.8668148792648219E-2</v>
      </c>
      <c r="AP297" s="41" t="str">
        <f t="shared" si="287"/>
        <v>2,12268020659264-1,21165649288333i</v>
      </c>
      <c r="AQ297">
        <f t="shared" si="288"/>
        <v>7.7625669195335671</v>
      </c>
      <c r="AR297" s="43">
        <f t="shared" si="289"/>
        <v>-29.71834817208957</v>
      </c>
      <c r="AS297" t="str">
        <f t="shared" si="266"/>
        <v>-0,0000166666666666667</v>
      </c>
      <c r="AT297" t="str">
        <f t="shared" si="267"/>
        <v>0,000128390346945687i</v>
      </c>
      <c r="AU297">
        <f t="shared" si="290"/>
        <v>1.2839034694568701E-4</v>
      </c>
      <c r="AV297">
        <f t="shared" si="291"/>
        <v>1.5707963267948966</v>
      </c>
      <c r="AW297" t="str">
        <f t="shared" si="268"/>
        <v>1+0,0432075187242852i</v>
      </c>
      <c r="AX297">
        <f t="shared" si="292"/>
        <v>1.000933009583713</v>
      </c>
      <c r="AY297">
        <f t="shared" si="293"/>
        <v>4.3180660912029684E-2</v>
      </c>
      <c r="AZ297" t="str">
        <f t="shared" si="269"/>
        <v>1+10,2278369323058i</v>
      </c>
      <c r="BA297">
        <f t="shared" si="294"/>
        <v>10.276606848266528</v>
      </c>
      <c r="BB297">
        <f t="shared" si="295"/>
        <v>1.4733337176814514</v>
      </c>
      <c r="BC297" s="41" t="str">
        <f t="shared" si="296"/>
        <v>-1,31962818935084+0,186830318838985i</v>
      </c>
      <c r="BD297">
        <f t="shared" si="297"/>
        <v>2.4952221446178644</v>
      </c>
      <c r="BE297" s="43">
        <f t="shared" si="298"/>
        <v>171.94173421062152</v>
      </c>
      <c r="BF297" s="41" t="str">
        <f t="shared" si="299"/>
        <v>-0,735797743051901+0,735012917172997i</v>
      </c>
      <c r="BG297" s="20">
        <f t="shared" si="300"/>
        <v>0.34083665817434999</v>
      </c>
      <c r="BH297" s="43">
        <f t="shared" si="301"/>
        <v>135.03057307610155</v>
      </c>
      <c r="BI297" s="41" t="str">
        <f t="shared" si="255"/>
        <v>-2,57477446870799+1,99551708360972i</v>
      </c>
      <c r="BJ297" s="20">
        <f t="shared" si="302"/>
        <v>10.257789064151419</v>
      </c>
      <c r="BK297" s="43">
        <f t="shared" si="256"/>
        <v>142.22338603853197</v>
      </c>
      <c r="BL297">
        <f t="shared" si="303"/>
        <v>0.34083665817434999</v>
      </c>
      <c r="BM297" s="43">
        <f t="shared" si="304"/>
        <v>135.03057307610155</v>
      </c>
    </row>
    <row r="298" spans="14:65" x14ac:dyDescent="0.25">
      <c r="N298" s="9">
        <v>80</v>
      </c>
      <c r="O298" s="34">
        <f t="shared" si="305"/>
        <v>6309.5734448019384</v>
      </c>
      <c r="P298" s="33" t="str">
        <f t="shared" si="257"/>
        <v>54,631621870174</v>
      </c>
      <c r="Q298" s="4" t="str">
        <f t="shared" si="258"/>
        <v>1+158,0069965905i</v>
      </c>
      <c r="R298" s="4">
        <f t="shared" si="270"/>
        <v>158.01016097564826</v>
      </c>
      <c r="S298" s="4">
        <f t="shared" si="271"/>
        <v>1.5644675776222638</v>
      </c>
      <c r="T298" s="4" t="str">
        <f t="shared" si="259"/>
        <v>1+1,9822109581475i</v>
      </c>
      <c r="U298" s="4">
        <f t="shared" si="272"/>
        <v>2.220171228216425</v>
      </c>
      <c r="V298" s="4">
        <f t="shared" si="273"/>
        <v>1.1035654273293698</v>
      </c>
      <c r="W298" t="str">
        <f t="shared" si="260"/>
        <v>1-0,157757781214549i</v>
      </c>
      <c r="X298" s="4">
        <f t="shared" si="274"/>
        <v>1.0123672839111986</v>
      </c>
      <c r="Y298" s="4">
        <f t="shared" si="275"/>
        <v>-0.15646824988901661</v>
      </c>
      <c r="Z298" t="str">
        <f t="shared" si="261"/>
        <v>0,999840757131779+0,0216746431872203i</v>
      </c>
      <c r="AA298" s="4">
        <f t="shared" si="276"/>
        <v>1.0000756620272</v>
      </c>
      <c r="AB298" s="4">
        <f t="shared" si="277"/>
        <v>2.1674700426437023E-2</v>
      </c>
      <c r="AC298" s="47" t="str">
        <f t="shared" si="278"/>
        <v>0,623713970324005-0,463457297406388i</v>
      </c>
      <c r="AD298" s="20">
        <f t="shared" si="279"/>
        <v>-2.1909841603841889</v>
      </c>
      <c r="AE298" s="43">
        <f t="shared" si="280"/>
        <v>-36.614587183371391</v>
      </c>
      <c r="AF298" t="str">
        <f t="shared" si="262"/>
        <v>171,265703090588</v>
      </c>
      <c r="AG298" t="str">
        <f t="shared" si="263"/>
        <v>1+156,494866878051i</v>
      </c>
      <c r="AH298">
        <f t="shared" si="281"/>
        <v>156.49806183841034</v>
      </c>
      <c r="AI298">
        <f t="shared" si="282"/>
        <v>1.5644064278183853</v>
      </c>
      <c r="AJ298" t="str">
        <f t="shared" si="264"/>
        <v>1+1,9822109581475i</v>
      </c>
      <c r="AK298">
        <f t="shared" si="283"/>
        <v>2.220171228216425</v>
      </c>
      <c r="AL298">
        <f t="shared" si="284"/>
        <v>1.1035654273293698</v>
      </c>
      <c r="AM298" t="str">
        <f t="shared" si="265"/>
        <v>1-0,0498411328701109i</v>
      </c>
      <c r="AN298">
        <f t="shared" si="285"/>
        <v>1.0012412988514687</v>
      </c>
      <c r="AO298">
        <f t="shared" si="286"/>
        <v>-4.9799923515099438E-2</v>
      </c>
      <c r="AP298" s="41" t="str">
        <f t="shared" si="287"/>
        <v>2,12235472965487-1,18894412817103i</v>
      </c>
      <c r="AQ298">
        <f t="shared" si="288"/>
        <v>7.7217332714636324</v>
      </c>
      <c r="AR298" s="43">
        <f t="shared" si="289"/>
        <v>-29.257569792096291</v>
      </c>
      <c r="AS298" t="str">
        <f t="shared" si="266"/>
        <v>-0,0000166666666666667</v>
      </c>
      <c r="AT298" t="str">
        <f t="shared" si="267"/>
        <v>0,000131380942306016i</v>
      </c>
      <c r="AU298">
        <f t="shared" si="290"/>
        <v>1.3138094230601599E-4</v>
      </c>
      <c r="AV298">
        <f t="shared" si="291"/>
        <v>1.5707963267948966</v>
      </c>
      <c r="AW298" t="str">
        <f t="shared" si="268"/>
        <v>1+0,0442139511244005i</v>
      </c>
      <c r="AX298">
        <f t="shared" si="292"/>
        <v>1.0009769595120714</v>
      </c>
      <c r="AY298">
        <f t="shared" si="293"/>
        <v>4.4185173976864729E-2</v>
      </c>
      <c r="AZ298" t="str">
        <f t="shared" si="269"/>
        <v>1+10,4660738590188i</v>
      </c>
      <c r="BA298">
        <f t="shared" si="294"/>
        <v>10.513738727133973</v>
      </c>
      <c r="BB298">
        <f t="shared" si="295"/>
        <v>1.4755386867803562</v>
      </c>
      <c r="BC298" s="41" t="str">
        <f t="shared" si="296"/>
        <v>-1,31951230997803+0,185198419595375i</v>
      </c>
      <c r="BD298">
        <f t="shared" si="297"/>
        <v>2.4929895300579901</v>
      </c>
      <c r="BE298" s="43">
        <f t="shared" si="298"/>
        <v>172.0105152748647</v>
      </c>
      <c r="BF298" s="41" t="str">
        <f t="shared" si="299"/>
        <v>-0,73716670271819+0,72704845066044i</v>
      </c>
      <c r="BG298" s="20">
        <f t="shared" si="300"/>
        <v>0.30200536967380265</v>
      </c>
      <c r="BH298" s="43">
        <f t="shared" si="301"/>
        <v>135.39592809149335</v>
      </c>
      <c r="BI298" s="41" t="str">
        <f t="shared" si="255"/>
        <v>-2,58028261839522+1,96188315475062i</v>
      </c>
      <c r="BJ298" s="20">
        <f t="shared" si="302"/>
        <v>10.214722801521621</v>
      </c>
      <c r="BK298" s="43">
        <f t="shared" si="256"/>
        <v>142.75294548276844</v>
      </c>
      <c r="BL298">
        <f t="shared" si="303"/>
        <v>0.30200536967380265</v>
      </c>
      <c r="BM298" s="43">
        <f t="shared" si="304"/>
        <v>135.39592809149335</v>
      </c>
    </row>
    <row r="299" spans="14:65" x14ac:dyDescent="0.25">
      <c r="N299" s="9">
        <v>81</v>
      </c>
      <c r="O299" s="34">
        <f t="shared" si="305"/>
        <v>6456.5422903465615</v>
      </c>
      <c r="P299" s="33" t="str">
        <f t="shared" si="257"/>
        <v>54,631621870174</v>
      </c>
      <c r="Q299" s="4" t="str">
        <f t="shared" si="258"/>
        <v>1+161,687452342388i</v>
      </c>
      <c r="R299" s="4">
        <f t="shared" si="270"/>
        <v>161.69054469872998</v>
      </c>
      <c r="S299" s="4">
        <f t="shared" si="271"/>
        <v>1.5646116338249836</v>
      </c>
      <c r="T299" s="4" t="str">
        <f t="shared" si="259"/>
        <v>1+2,02838258269446i</v>
      </c>
      <c r="U299" s="4">
        <f t="shared" si="272"/>
        <v>2.2614897527466815</v>
      </c>
      <c r="V299" s="4">
        <f t="shared" si="273"/>
        <v>1.1127614531539416</v>
      </c>
      <c r="W299" t="str">
        <f t="shared" si="260"/>
        <v>1-0,161432431994608i</v>
      </c>
      <c r="X299" s="4">
        <f t="shared" si="274"/>
        <v>1.0129464102802743</v>
      </c>
      <c r="Y299" s="4">
        <f t="shared" si="275"/>
        <v>-0.16005162629730854</v>
      </c>
      <c r="Z299" t="str">
        <f t="shared" si="261"/>
        <v>0,999833252246612+0,0221795104836684i</v>
      </c>
      <c r="AA299" s="4">
        <f t="shared" si="276"/>
        <v>1.0000792283531004</v>
      </c>
      <c r="AB299" s="4">
        <f t="shared" si="277"/>
        <v>2.2179571810781239E-2</v>
      </c>
      <c r="AC299" s="47" t="str">
        <f t="shared" si="278"/>
        <v>0,6234970181776-0,458510039939008i</v>
      </c>
      <c r="AD299" s="20">
        <f t="shared" si="279"/>
        <v>-2.2258768691302286</v>
      </c>
      <c r="AE299" s="43">
        <f t="shared" si="280"/>
        <v>-36.330186871880287</v>
      </c>
      <c r="AF299" t="str">
        <f t="shared" si="262"/>
        <v>171,265703090588</v>
      </c>
      <c r="AG299" t="str">
        <f t="shared" si="263"/>
        <v>1+160,14010060422i</v>
      </c>
      <c r="AH299">
        <f t="shared" si="281"/>
        <v>160.14322283983705</v>
      </c>
      <c r="AI299">
        <f t="shared" si="282"/>
        <v>1.564551875851812</v>
      </c>
      <c r="AJ299" t="str">
        <f t="shared" si="264"/>
        <v>1+2,02838258269446i</v>
      </c>
      <c r="AK299">
        <f t="shared" si="283"/>
        <v>2.2614897527466815</v>
      </c>
      <c r="AL299">
        <f t="shared" si="284"/>
        <v>1.1127614531539416</v>
      </c>
      <c r="AM299" t="str">
        <f t="shared" si="265"/>
        <v>1-0,0510020819933186i</v>
      </c>
      <c r="AN299">
        <f t="shared" si="285"/>
        <v>1.0012997614938561</v>
      </c>
      <c r="AO299">
        <f t="shared" si="286"/>
        <v>-5.0957928468990089E-2</v>
      </c>
      <c r="AP299" s="41" t="str">
        <f t="shared" si="287"/>
        <v>2,12204390042305-1,16686197011848i</v>
      </c>
      <c r="AQ299">
        <f t="shared" si="288"/>
        <v>7.6824114879626171</v>
      </c>
      <c r="AR299" s="43">
        <f t="shared" si="289"/>
        <v>-28.805358679022088</v>
      </c>
      <c r="AS299" t="str">
        <f t="shared" si="266"/>
        <v>-0,0000166666666666667</v>
      </c>
      <c r="AT299" t="str">
        <f t="shared" si="267"/>
        <v>0,000134441197580989i</v>
      </c>
      <c r="AU299">
        <f t="shared" si="290"/>
        <v>1.3444119758098899E-4</v>
      </c>
      <c r="AV299">
        <f t="shared" si="291"/>
        <v>1.5707963267948966</v>
      </c>
      <c r="AW299" t="str">
        <f t="shared" si="268"/>
        <v>1+0,0452438263466429i</v>
      </c>
      <c r="AX299">
        <f t="shared" si="292"/>
        <v>1.0010229786685645</v>
      </c>
      <c r="AY299">
        <f t="shared" si="293"/>
        <v>4.5212992779159251E-2</v>
      </c>
      <c r="AZ299" t="str">
        <f t="shared" si="269"/>
        <v>1+10,7098600366267i</v>
      </c>
      <c r="BA299">
        <f t="shared" si="294"/>
        <v>10.756444673038285</v>
      </c>
      <c r="BB299">
        <f t="shared" si="295"/>
        <v>1.4776943627789469</v>
      </c>
      <c r="BC299" s="41" t="str">
        <f t="shared" si="296"/>
        <v>-1,31939099118914+0,183664232939179i</v>
      </c>
      <c r="BD299">
        <f t="shared" si="297"/>
        <v>2.4908215598420282</v>
      </c>
      <c r="BE299" s="43">
        <f t="shared" si="298"/>
        <v>172.0751367321059</v>
      </c>
      <c r="BF299" s="41" t="str">
        <f t="shared" si="299"/>
        <v>-0,738424454036507+0,719468117648754i</v>
      </c>
      <c r="BG299" s="20">
        <f t="shared" si="300"/>
        <v>0.26494469071180021</v>
      </c>
      <c r="BH299" s="43">
        <f t="shared" si="301"/>
        <v>135.74494986022566</v>
      </c>
      <c r="BI299" s="41" t="str">
        <f t="shared" si="255"/>
        <v>-2,58549479643833+1,92929073657i</v>
      </c>
      <c r="BJ299" s="20">
        <f t="shared" si="302"/>
        <v>10.173233047804658</v>
      </c>
      <c r="BK299" s="43">
        <f t="shared" si="256"/>
        <v>143.2697780530838</v>
      </c>
      <c r="BL299">
        <f t="shared" si="303"/>
        <v>0.26494469071180021</v>
      </c>
      <c r="BM299" s="43">
        <f t="shared" si="304"/>
        <v>135.74494986022566</v>
      </c>
    </row>
    <row r="300" spans="14:65" x14ac:dyDescent="0.25">
      <c r="N300" s="9">
        <v>82</v>
      </c>
      <c r="O300" s="34">
        <f t="shared" si="305"/>
        <v>6606.9344800759654</v>
      </c>
      <c r="P300" s="33" t="str">
        <f t="shared" si="257"/>
        <v>54,631621870174</v>
      </c>
      <c r="Q300" s="4" t="str">
        <f t="shared" si="258"/>
        <v>1+165,453636921693i</v>
      </c>
      <c r="R300" s="4">
        <f t="shared" si="270"/>
        <v>165.45665888871144</v>
      </c>
      <c r="S300" s="4">
        <f t="shared" si="271"/>
        <v>1.5647524111562321</v>
      </c>
      <c r="T300" s="4" t="str">
        <f t="shared" si="259"/>
        <v>1+2,07562968253557i</v>
      </c>
      <c r="U300" s="4">
        <f t="shared" si="272"/>
        <v>2.3039614968620268</v>
      </c>
      <c r="V300" s="4">
        <f t="shared" si="273"/>
        <v>1.1218294480320348</v>
      </c>
      <c r="W300" t="str">
        <f t="shared" si="260"/>
        <v>1-0,165192676386922i</v>
      </c>
      <c r="X300" s="4">
        <f t="shared" si="274"/>
        <v>1.0135524753715883</v>
      </c>
      <c r="Y300" s="4">
        <f t="shared" si="275"/>
        <v>-0.16371418281301284</v>
      </c>
      <c r="Z300" t="str">
        <f t="shared" si="261"/>
        <v>0,999825393667104+0,0226961376501553i</v>
      </c>
      <c r="AA300" s="4">
        <f t="shared" si="276"/>
        <v>1.000082962801494</v>
      </c>
      <c r="AB300" s="4">
        <f t="shared" si="277"/>
        <v>2.2696203356818521E-2</v>
      </c>
      <c r="AC300" s="47" t="str">
        <f t="shared" si="278"/>
        <v>0,623278812579571-0,453805674334371i</v>
      </c>
      <c r="AD300" s="20">
        <f t="shared" si="279"/>
        <v>-2.2590945923049248</v>
      </c>
      <c r="AE300" s="43">
        <f t="shared" si="280"/>
        <v>-36.05814482138036</v>
      </c>
      <c r="AF300" t="str">
        <f t="shared" si="262"/>
        <v>171,265703090588</v>
      </c>
      <c r="AG300" t="str">
        <f t="shared" si="263"/>
        <v>1+163,870242731433i</v>
      </c>
      <c r="AH300">
        <f t="shared" si="281"/>
        <v>163.87329389762925</v>
      </c>
      <c r="AI300">
        <f t="shared" si="282"/>
        <v>1.5646940133390919</v>
      </c>
      <c r="AJ300" t="str">
        <f t="shared" si="264"/>
        <v>1+2,07562968253557i</v>
      </c>
      <c r="AK300">
        <f t="shared" si="283"/>
        <v>2.3039614968620268</v>
      </c>
      <c r="AL300">
        <f t="shared" si="284"/>
        <v>1.1218294480320348</v>
      </c>
      <c r="AM300" t="str">
        <f t="shared" si="265"/>
        <v>1-0,0521900730954912i</v>
      </c>
      <c r="AN300">
        <f t="shared" si="285"/>
        <v>1.0013609757373776</v>
      </c>
      <c r="AO300">
        <f t="shared" si="286"/>
        <v>-5.2142765213970613E-2</v>
      </c>
      <c r="AP300" s="41" t="str">
        <f t="shared" si="287"/>
        <v>2,12174705974471-1,14539832297067i</v>
      </c>
      <c r="AQ300">
        <f t="shared" si="288"/>
        <v>7.6445619593070315</v>
      </c>
      <c r="AR300" s="43">
        <f t="shared" si="289"/>
        <v>-28.361830866892412</v>
      </c>
      <c r="AS300" t="str">
        <f t="shared" si="266"/>
        <v>-0,0000166666666666667</v>
      </c>
      <c r="AT300" t="str">
        <f t="shared" si="267"/>
        <v>0,000137572735358458i</v>
      </c>
      <c r="AU300">
        <f t="shared" si="290"/>
        <v>1.3757273535845799E-4</v>
      </c>
      <c r="AV300">
        <f t="shared" si="291"/>
        <v>1.5707963267948966</v>
      </c>
      <c r="AW300" t="str">
        <f t="shared" si="268"/>
        <v>1+0,0462976904444869i</v>
      </c>
      <c r="AX300">
        <f t="shared" si="292"/>
        <v>1.0010711643736889</v>
      </c>
      <c r="AY300">
        <f t="shared" si="293"/>
        <v>4.6264653590705467E-2</v>
      </c>
      <c r="AZ300" t="str">
        <f t="shared" si="269"/>
        <v>1+10,9593247237878i</v>
      </c>
      <c r="BA300">
        <f t="shared" si="294"/>
        <v>11.004853402087033</v>
      </c>
      <c r="BB300">
        <f t="shared" si="295"/>
        <v>1.4798018084626376</v>
      </c>
      <c r="BC300" s="41" t="str">
        <f t="shared" si="296"/>
        <v>-1,31926397873004+0,182226911089857i</v>
      </c>
      <c r="BD300">
        <f t="shared" si="297"/>
        <v>2.4887137395115331</v>
      </c>
      <c r="BE300" s="43">
        <f t="shared" si="298"/>
        <v>172.1356287493536</v>
      </c>
      <c r="BF300" s="41" t="str">
        <f t="shared" si="299"/>
        <v>-0,739573679872858+0,71226765225676i</v>
      </c>
      <c r="BG300" s="20">
        <f t="shared" si="300"/>
        <v>0.22961914720660867</v>
      </c>
      <c r="BH300" s="43">
        <f t="shared" si="301"/>
        <v>136.07748392797328</v>
      </c>
      <c r="BI300" s="41" t="str">
        <f t="shared" si="255"/>
        <v>-2,59042206953512+1,89772216160427i</v>
      </c>
      <c r="BJ300" s="20">
        <f t="shared" si="302"/>
        <v>10.133275698818567</v>
      </c>
      <c r="BK300" s="43">
        <f t="shared" si="256"/>
        <v>143.77379788246111</v>
      </c>
      <c r="BL300">
        <f t="shared" si="303"/>
        <v>0.22961914720660867</v>
      </c>
      <c r="BM300" s="43">
        <f t="shared" si="304"/>
        <v>136.07748392797328</v>
      </c>
    </row>
    <row r="301" spans="14:65" x14ac:dyDescent="0.25">
      <c r="N301" s="9">
        <v>83</v>
      </c>
      <c r="O301" s="34">
        <f t="shared" si="305"/>
        <v>6760.8297539198229</v>
      </c>
      <c r="P301" s="33" t="str">
        <f t="shared" si="257"/>
        <v>54,631621870174</v>
      </c>
      <c r="Q301" s="4" t="str">
        <f t="shared" si="258"/>
        <v>1+169,307547209333i</v>
      </c>
      <c r="R301" s="4">
        <f t="shared" si="270"/>
        <v>169.3105003891977</v>
      </c>
      <c r="S301" s="4">
        <f t="shared" si="271"/>
        <v>1.5648899842356814</v>
      </c>
      <c r="T301" s="4" t="str">
        <f t="shared" si="259"/>
        <v>1+2,12397730870858i</v>
      </c>
      <c r="U301" s="4">
        <f t="shared" si="272"/>
        <v>2.3476114686866185</v>
      </c>
      <c r="V301" s="4">
        <f t="shared" si="273"/>
        <v>1.1307682537780466</v>
      </c>
      <c r="W301" t="str">
        <f t="shared" si="260"/>
        <v>1-0,16904050812284i</v>
      </c>
      <c r="X301" s="4">
        <f t="shared" si="274"/>
        <v>1.0141867152484438</v>
      </c>
      <c r="Y301" s="4">
        <f t="shared" si="275"/>
        <v>-0.1674574681270049</v>
      </c>
      <c r="Z301" t="str">
        <f t="shared" si="261"/>
        <v>0,999817164724154+0,0232247986092433i</v>
      </c>
      <c r="AA301" s="4">
        <f t="shared" si="276"/>
        <v>1.0000868733002579</v>
      </c>
      <c r="AB301" s="4">
        <f t="shared" si="277"/>
        <v>2.3224869007883561E-2</v>
      </c>
      <c r="AC301" s="47" t="str">
        <f t="shared" si="278"/>
        <v>0,623058890978959-0,449341698307881i</v>
      </c>
      <c r="AD301" s="20">
        <f t="shared" si="279"/>
        <v>-2.2906677297174531</v>
      </c>
      <c r="AE301" s="43">
        <f t="shared" si="280"/>
        <v>-35.798636095658182</v>
      </c>
      <c r="AF301" t="str">
        <f t="shared" si="262"/>
        <v>171,265703090588</v>
      </c>
      <c r="AG301" t="str">
        <f t="shared" si="263"/>
        <v>1+167,687271030421i</v>
      </c>
      <c r="AH301">
        <f t="shared" si="281"/>
        <v>167.69025274484463</v>
      </c>
      <c r="AI301">
        <f t="shared" si="282"/>
        <v>1.5648329156204162</v>
      </c>
      <c r="AJ301" t="str">
        <f t="shared" si="264"/>
        <v>1+2,12397730870858i</v>
      </c>
      <c r="AK301">
        <f t="shared" si="283"/>
        <v>2.3476114686866185</v>
      </c>
      <c r="AL301">
        <f t="shared" si="284"/>
        <v>1.1307682537780466</v>
      </c>
      <c r="AM301" t="str">
        <f t="shared" si="265"/>
        <v>1-0,0534057360652365i</v>
      </c>
      <c r="AN301">
        <f t="shared" si="285"/>
        <v>1.0014250709087873</v>
      </c>
      <c r="AO301">
        <f t="shared" si="286"/>
        <v>-5.335504865206387E-2</v>
      </c>
      <c r="AP301" s="41" t="str">
        <f t="shared" si="287"/>
        <v>2,12146357812509-1,12454181808118i</v>
      </c>
      <c r="AQ301">
        <f t="shared" si="288"/>
        <v>7.6081452966985355</v>
      </c>
      <c r="AR301" s="43">
        <f t="shared" si="289"/>
        <v>-27.927092262819379</v>
      </c>
      <c r="AS301" t="str">
        <f t="shared" si="266"/>
        <v>-0,0000166666666666667</v>
      </c>
      <c r="AT301" t="str">
        <f t="shared" si="267"/>
        <v>0,000140777216021205i</v>
      </c>
      <c r="AU301">
        <f t="shared" si="290"/>
        <v>1.4077721602120499E-4</v>
      </c>
      <c r="AV301">
        <f t="shared" si="291"/>
        <v>1.5707963267948966</v>
      </c>
      <c r="AW301" t="str">
        <f t="shared" si="268"/>
        <v>1+0,0473761021906271i</v>
      </c>
      <c r="AX301">
        <f t="shared" si="292"/>
        <v>1.0011216185153413</v>
      </c>
      <c r="AY301">
        <f t="shared" si="293"/>
        <v>4.7340704705677562E-2</v>
      </c>
      <c r="AZ301" t="str">
        <f t="shared" si="269"/>
        <v>1+11,2146001899813i</v>
      </c>
      <c r="BA301">
        <f t="shared" si="294"/>
        <v>11.259096652091085</v>
      </c>
      <c r="BB301">
        <f t="shared" si="295"/>
        <v>1.4818620663068225</v>
      </c>
      <c r="BC301" s="41" t="str">
        <f t="shared" si="296"/>
        <v>-1,31913100656534+0,180885655187635i</v>
      </c>
      <c r="BD301">
        <f t="shared" si="297"/>
        <v>2.4866616940644488</v>
      </c>
      <c r="BE301" s="43">
        <f t="shared" si="298"/>
        <v>172.19201964110582</v>
      </c>
      <c r="BF301" s="41" t="str">
        <f t="shared" si="299"/>
        <v>-0,740616834505013+0,705442982495865i</v>
      </c>
      <c r="BG301" s="20">
        <f t="shared" si="300"/>
        <v>0.19599396434699584</v>
      </c>
      <c r="BH301" s="43">
        <f t="shared" si="301"/>
        <v>136.39338354544765</v>
      </c>
      <c r="BI301" s="41" t="str">
        <f t="shared" si="255"/>
        <v>-2,59507490165435+1,86716030969611i</v>
      </c>
      <c r="BJ301" s="20">
        <f t="shared" si="302"/>
        <v>10.094806990762992</v>
      </c>
      <c r="BK301" s="43">
        <f t="shared" si="256"/>
        <v>144.26492737828642</v>
      </c>
      <c r="BL301">
        <f t="shared" si="303"/>
        <v>0.19599396434699584</v>
      </c>
      <c r="BM301" s="43">
        <f t="shared" si="304"/>
        <v>136.39338354544765</v>
      </c>
    </row>
    <row r="302" spans="14:65" x14ac:dyDescent="0.25">
      <c r="N302" s="9">
        <v>84</v>
      </c>
      <c r="O302" s="34">
        <f t="shared" si="305"/>
        <v>6918.3097091893687</v>
      </c>
      <c r="P302" s="33" t="str">
        <f t="shared" si="257"/>
        <v>54,631621870174</v>
      </c>
      <c r="Q302" s="4" t="str">
        <f t="shared" si="258"/>
        <v>1+173,251226599553i</v>
      </c>
      <c r="R302" s="4">
        <f t="shared" si="270"/>
        <v>173.25411255796979</v>
      </c>
      <c r="S302" s="4">
        <f t="shared" si="271"/>
        <v>1.5650244259855572</v>
      </c>
      <c r="T302" s="4" t="str">
        <f t="shared" si="259"/>
        <v>1+2,17345109576482i</v>
      </c>
      <c r="U302" s="4">
        <f t="shared" si="272"/>
        <v>2.3924651858869956</v>
      </c>
      <c r="V302" s="4">
        <f t="shared" si="273"/>
        <v>1.1395768950209195</v>
      </c>
      <c r="W302" t="str">
        <f t="shared" si="260"/>
        <v>1-0,17297796737368i</v>
      </c>
      <c r="X302" s="4">
        <f t="shared" si="274"/>
        <v>1.0148504210950153</v>
      </c>
      <c r="Y302" s="4">
        <f t="shared" si="275"/>
        <v>-0.17128304715421241</v>
      </c>
      <c r="Z302" t="str">
        <f t="shared" si="261"/>
        <v>0,999808547963071+0,0237657736639705i</v>
      </c>
      <c r="AA302" s="4">
        <f t="shared" si="276"/>
        <v>1.0000909681513335</v>
      </c>
      <c r="AB302" s="4">
        <f t="shared" si="277"/>
        <v>2.3765849089261912E-2</v>
      </c>
      <c r="AC302" s="47" t="str">
        <f t="shared" si="278"/>
        <v>0,622836787204961-0,445115735962821i</v>
      </c>
      <c r="AD302" s="20">
        <f t="shared" si="279"/>
        <v>-2.3206260124456857</v>
      </c>
      <c r="AE302" s="43">
        <f t="shared" si="280"/>
        <v>-35.551826481971268</v>
      </c>
      <c r="AF302" t="str">
        <f t="shared" si="262"/>
        <v>171,265703090588</v>
      </c>
      <c r="AG302" t="str">
        <f t="shared" si="263"/>
        <v>1+171,593209340113i</v>
      </c>
      <c r="AH302">
        <f t="shared" si="281"/>
        <v>171.59612318359598</v>
      </c>
      <c r="AI302">
        <f t="shared" si="282"/>
        <v>1.564968656322161</v>
      </c>
      <c r="AJ302" t="str">
        <f t="shared" si="264"/>
        <v>1+2,17345109576482i</v>
      </c>
      <c r="AK302">
        <f t="shared" si="283"/>
        <v>2.3924651858869956</v>
      </c>
      <c r="AL302">
        <f t="shared" si="284"/>
        <v>1.1395768950209195</v>
      </c>
      <c r="AM302" t="str">
        <f t="shared" si="265"/>
        <v>1-0,054649715463152i</v>
      </c>
      <c r="AN302">
        <f t="shared" si="285"/>
        <v>1.0014921823959504</v>
      </c>
      <c r="AO302">
        <f t="shared" si="286"/>
        <v>-5.4595407291035583E-2</v>
      </c>
      <c r="AP302" s="41" t="str">
        <f t="shared" si="287"/>
        <v>2,12119285439302-1,1042814079401i</v>
      </c>
      <c r="AQ302">
        <f t="shared" si="288"/>
        <v>7.5731224085999926</v>
      </c>
      <c r="AR302" s="43">
        <f t="shared" si="289"/>
        <v>-27.501238980771813</v>
      </c>
      <c r="AS302" t="str">
        <f t="shared" si="266"/>
        <v>-0,0000166666666666667</v>
      </c>
      <c r="AT302" t="str">
        <f t="shared" si="267"/>
        <v>0,000144056338627293i</v>
      </c>
      <c r="AU302">
        <f t="shared" si="290"/>
        <v>1.44056338627293E-4</v>
      </c>
      <c r="AV302">
        <f t="shared" si="291"/>
        <v>1.5707963267948966</v>
      </c>
      <c r="AW302" t="str">
        <f t="shared" si="268"/>
        <v>1+0,0484796333732456i</v>
      </c>
      <c r="AX302">
        <f t="shared" si="292"/>
        <v>1.0011744477622291</v>
      </c>
      <c r="AY302">
        <f t="shared" si="293"/>
        <v>4.844170668739492E-2</v>
      </c>
      <c r="AZ302" t="str">
        <f t="shared" si="269"/>
        <v>1+11,4758217856383i</v>
      </c>
      <c r="BA302">
        <f t="shared" si="294"/>
        <v>11.519309252543339</v>
      </c>
      <c r="BB302">
        <f t="shared" si="295"/>
        <v>1.4838761586879827</v>
      </c>
      <c r="BC302" s="41" t="str">
        <f t="shared" si="296"/>
        <v>-1,31899179634252+0,179639714697654i</v>
      </c>
      <c r="BD302">
        <f t="shared" si="297"/>
        <v>2.4846611594684251</v>
      </c>
      <c r="BE302" s="43">
        <f t="shared" si="298"/>
        <v>172.24433586730783</v>
      </c>
      <c r="BF302" s="41" t="str">
        <f t="shared" si="299"/>
        <v>-0,741556148967878+0,698990226914627i</v>
      </c>
      <c r="BG302" s="20">
        <f t="shared" si="300"/>
        <v>0.16403514702274169</v>
      </c>
      <c r="BH302" s="43">
        <f t="shared" si="301"/>
        <v>136.69250938533654</v>
      </c>
      <c r="BI302" s="41" t="str">
        <f t="shared" si="255"/>
        <v>-2,59946317633648+1,83758859710842i</v>
      </c>
      <c r="BJ302" s="20">
        <f t="shared" si="302"/>
        <v>10.057783568068405</v>
      </c>
      <c r="BK302" s="43">
        <f t="shared" si="256"/>
        <v>144.74309688653602</v>
      </c>
      <c r="BL302">
        <f t="shared" si="303"/>
        <v>0.16403514702274169</v>
      </c>
      <c r="BM302" s="43">
        <f t="shared" si="304"/>
        <v>136.69250938533654</v>
      </c>
    </row>
    <row r="303" spans="14:65" x14ac:dyDescent="0.25">
      <c r="N303" s="9">
        <v>85</v>
      </c>
      <c r="O303" s="34">
        <f t="shared" si="305"/>
        <v>7079.4578438413828</v>
      </c>
      <c r="P303" s="33" t="str">
        <f t="shared" si="257"/>
        <v>54,631621870174</v>
      </c>
      <c r="Q303" s="4" t="str">
        <f t="shared" si="258"/>
        <v>1+177,286766083368i</v>
      </c>
      <c r="R303" s="4">
        <f t="shared" si="270"/>
        <v>177.2895863504082</v>
      </c>
      <c r="S303" s="4">
        <f t="shared" si="271"/>
        <v>1.5651558076692036</v>
      </c>
      <c r="T303" s="4" t="str">
        <f t="shared" si="259"/>
        <v>1+2,22407727536107i</v>
      </c>
      <c r="U303" s="4">
        <f t="shared" si="272"/>
        <v>2.4385486927222759</v>
      </c>
      <c r="V303" s="4">
        <f t="shared" si="273"/>
        <v>1.14825457334786</v>
      </c>
      <c r="W303" t="str">
        <f t="shared" si="260"/>
        <v>1-0,177007141832455i</v>
      </c>
      <c r="X303" s="4">
        <f t="shared" si="274"/>
        <v>1.0155449415263191</v>
      </c>
      <c r="Y303" s="4">
        <f t="shared" si="275"/>
        <v>-0.17519250014228388</v>
      </c>
      <c r="Z303" t="str">
        <f t="shared" si="261"/>
        <v>0,999799525106549+0,0243193496464715i</v>
      </c>
      <c r="AA303" s="4">
        <f t="shared" si="276"/>
        <v>1.0000952560483967</v>
      </c>
      <c r="AB303" s="4">
        <f t="shared" si="277"/>
        <v>2.4319430456914912E-2</v>
      </c>
      <c r="AC303" s="47" t="str">
        <f t="shared" si="278"/>
        <v>0,6226120304808-0,441125536487501i</v>
      </c>
      <c r="AD303" s="20">
        <f t="shared" si="279"/>
        <v>-2.3489984185422079</v>
      </c>
      <c r="AE303" s="43">
        <f t="shared" si="280"/>
        <v>-35.317872786248628</v>
      </c>
      <c r="AF303" t="str">
        <f t="shared" si="262"/>
        <v>171,265703090588</v>
      </c>
      <c r="AG303" t="str">
        <f t="shared" si="263"/>
        <v>1+175,590128640702i</v>
      </c>
      <c r="AH303">
        <f t="shared" si="281"/>
        <v>175.59297615809771</v>
      </c>
      <c r="AI303">
        <f t="shared" si="282"/>
        <v>1.5651013073958229</v>
      </c>
      <c r="AJ303" t="str">
        <f t="shared" si="264"/>
        <v>1+2,22407727536107i</v>
      </c>
      <c r="AK303">
        <f t="shared" si="283"/>
        <v>2.4385486927222759</v>
      </c>
      <c r="AL303">
        <f t="shared" si="284"/>
        <v>1.14825457334786</v>
      </c>
      <c r="AM303" t="str">
        <f t="shared" si="265"/>
        <v>1-0,0559226708635806i</v>
      </c>
      <c r="AN303">
        <f t="shared" si="285"/>
        <v>1.0015624519302411</v>
      </c>
      <c r="AO303">
        <f t="shared" si="286"/>
        <v>-5.5864483510570911E-2</v>
      </c>
      <c r="AP303" s="41" t="str">
        <f t="shared" si="287"/>
        <v>2,12093431442706-1,08460636036837i</v>
      </c>
      <c r="AQ303">
        <f t="shared" si="288"/>
        <v>7.5394545722334652</v>
      </c>
      <c r="AR303" s="43">
        <f t="shared" si="289"/>
        <v>-27.084357694594431</v>
      </c>
      <c r="AS303" t="str">
        <f t="shared" si="266"/>
        <v>-0,0000166666666666667</v>
      </c>
      <c r="AT303" t="str">
        <f t="shared" si="267"/>
        <v>0,000147411841810932i</v>
      </c>
      <c r="AU303">
        <f t="shared" si="290"/>
        <v>1.4741184181093201E-4</v>
      </c>
      <c r="AV303">
        <f t="shared" si="291"/>
        <v>1.5707963267948966</v>
      </c>
      <c r="AW303" t="str">
        <f t="shared" si="268"/>
        <v>1+0,0496088690991823i</v>
      </c>
      <c r="AX303">
        <f t="shared" si="292"/>
        <v>1.0012297637871639</v>
      </c>
      <c r="AY303">
        <f t="shared" si="293"/>
        <v>4.956823261848832E-2</v>
      </c>
      <c r="AZ303" t="str">
        <f t="shared" si="269"/>
        <v>1+11,7431280139064i</v>
      </c>
      <c r="BA303">
        <f t="shared" si="294"/>
        <v>11.785629196228484</v>
      </c>
      <c r="BB303">
        <f t="shared" si="295"/>
        <v>1.4858450881059102</v>
      </c>
      <c r="BC303" s="41" t="str">
        <f t="shared" si="296"/>
        <v>-1,31884605683247+0,178488386827682i</v>
      </c>
      <c r="BD303">
        <f t="shared" si="297"/>
        <v>2.4827079743488749</v>
      </c>
      <c r="BE303" s="43">
        <f t="shared" si="298"/>
        <v>172.29260203175053</v>
      </c>
      <c r="BF303" s="41" t="str">
        <f t="shared" si="299"/>
        <v>-0,742393635939911+0,692905691304674i</v>
      </c>
      <c r="BG303" s="20">
        <f t="shared" si="300"/>
        <v>0.13370955580666688</v>
      </c>
      <c r="BH303" s="43">
        <f t="shared" si="301"/>
        <v>136.97472924550192</v>
      </c>
      <c r="BI303" s="41" t="str">
        <f t="shared" si="255"/>
        <v>-2,60359621777761+1,8089909659368i</v>
      </c>
      <c r="BJ303" s="20">
        <f t="shared" si="302"/>
        <v>10.022162546582329</v>
      </c>
      <c r="BK303" s="43">
        <f t="shared" si="256"/>
        <v>145.20824433715615</v>
      </c>
      <c r="BL303">
        <f t="shared" si="303"/>
        <v>0.13370955580666688</v>
      </c>
      <c r="BM303" s="43">
        <f t="shared" si="304"/>
        <v>136.97472924550192</v>
      </c>
    </row>
    <row r="304" spans="14:65" x14ac:dyDescent="0.25">
      <c r="N304" s="9">
        <v>86</v>
      </c>
      <c r="O304" s="34">
        <f t="shared" si="305"/>
        <v>7244.3596007499036</v>
      </c>
      <c r="P304" s="33" t="str">
        <f t="shared" si="257"/>
        <v>54,631621870174</v>
      </c>
      <c r="Q304" s="4" t="str">
        <f t="shared" si="258"/>
        <v>1+181,416305357228i</v>
      </c>
      <c r="R304" s="4">
        <f t="shared" si="270"/>
        <v>181.41906142813932</v>
      </c>
      <c r="S304" s="4">
        <f t="shared" si="271"/>
        <v>1.5652841989287758</v>
      </c>
      <c r="T304" s="4" t="str">
        <f t="shared" si="259"/>
        <v>1+2,27588269016786i</v>
      </c>
      <c r="U304" s="4">
        <f t="shared" si="272"/>
        <v>2.485888577431759</v>
      </c>
      <c r="V304" s="4">
        <f t="shared" si="273"/>
        <v>1.1568006611654682</v>
      </c>
      <c r="W304" t="str">
        <f t="shared" si="260"/>
        <v>1-0,181130167820797i</v>
      </c>
      <c r="X304" s="4">
        <f t="shared" si="274"/>
        <v>1.0162716849813294</v>
      </c>
      <c r="Y304" s="4">
        <f t="shared" si="275"/>
        <v>-0.17918742168579524</v>
      </c>
      <c r="Z304" t="str">
        <f t="shared" si="261"/>
        <v>0,9997900770159+0,0248858200700598i</v>
      </c>
      <c r="AA304" s="4">
        <f t="shared" si="276"/>
        <v>1.0000997460953673</v>
      </c>
      <c r="AB304" s="4">
        <f t="shared" si="277"/>
        <v>2.4885906649673578E-2</v>
      </c>
      <c r="AC304" s="47" t="str">
        <f t="shared" si="278"/>
        <v>0,622384144427975-0,437368972913438i</v>
      </c>
      <c r="AD304" s="20">
        <f t="shared" si="279"/>
        <v>-2.3758130934055108</v>
      </c>
      <c r="AE304" s="43">
        <f t="shared" si="280"/>
        <v>-35.096923139220173</v>
      </c>
      <c r="AF304" t="str">
        <f t="shared" si="262"/>
        <v>171,265703090588</v>
      </c>
      <c r="AG304" t="str">
        <f t="shared" si="263"/>
        <v>1+179,680148151707i</v>
      </c>
      <c r="AH304">
        <f t="shared" si="281"/>
        <v>179.68293085270892</v>
      </c>
      <c r="AI304">
        <f t="shared" si="282"/>
        <v>1.565230939156073</v>
      </c>
      <c r="AJ304" t="str">
        <f t="shared" si="264"/>
        <v>1+2,27588269016786i</v>
      </c>
      <c r="AK304">
        <f t="shared" si="283"/>
        <v>2.485888577431759</v>
      </c>
      <c r="AL304">
        <f t="shared" si="284"/>
        <v>1.1568006611654682</v>
      </c>
      <c r="AM304" t="str">
        <f t="shared" si="265"/>
        <v>1-0,0572252772043252i</v>
      </c>
      <c r="AN304">
        <f t="shared" si="285"/>
        <v>1.0016360278819407</v>
      </c>
      <c r="AO304">
        <f t="shared" si="286"/>
        <v>-5.7162933831086782E-2</v>
      </c>
      <c r="AP304" s="41" t="str">
        <f t="shared" si="287"/>
        <v>2,12068740993856-1,06550625287596i</v>
      </c>
      <c r="AQ304">
        <f t="shared" si="288"/>
        <v>7.5071035002177577</v>
      </c>
      <c r="AR304" s="43">
        <f t="shared" si="289"/>
        <v>-26.676526007323481</v>
      </c>
      <c r="AS304" t="str">
        <f t="shared" si="266"/>
        <v>-0,0000166666666666667</v>
      </c>
      <c r="AT304" t="str">
        <f t="shared" si="267"/>
        <v>0,000150845504704326i</v>
      </c>
      <c r="AU304">
        <f t="shared" si="290"/>
        <v>1.50845504704326E-4</v>
      </c>
      <c r="AV304">
        <f t="shared" si="291"/>
        <v>1.5707963267948966</v>
      </c>
      <c r="AW304" t="str">
        <f t="shared" si="268"/>
        <v>1+0,0507644081041666i</v>
      </c>
      <c r="AX304">
        <f t="shared" si="292"/>
        <v>1.0012876835006843</v>
      </c>
      <c r="AY304">
        <f t="shared" si="293"/>
        <v>5.072086835438204E-2</v>
      </c>
      <c r="AZ304" t="str">
        <f t="shared" si="269"/>
        <v>1+12,0166606040863i</v>
      </c>
      <c r="BA304">
        <f t="shared" si="294"/>
        <v>12.058197712502468</v>
      </c>
      <c r="BB304">
        <f t="shared" si="295"/>
        <v>1.4877698374158275</v>
      </c>
      <c r="BC304" s="41" t="str">
        <f t="shared" si="296"/>
        <v>-1,31869348334589+0,177431015958257i</v>
      </c>
      <c r="BD304">
        <f t="shared" si="297"/>
        <v>2.4807980718423712</v>
      </c>
      <c r="BE304" s="43">
        <f t="shared" si="298"/>
        <v>172.33684088084684</v>
      </c>
      <c r="BF304" s="41" t="str">
        <f t="shared" si="299"/>
        <v>-0,743131094182327+0,687185865460802i</v>
      </c>
      <c r="BG304" s="20">
        <f t="shared" si="300"/>
        <v>0.10498497843685972</v>
      </c>
      <c r="BH304" s="43">
        <f t="shared" si="301"/>
        <v>137.23991774162664</v>
      </c>
      <c r="BI304" s="41" t="str">
        <f t="shared" si="255"/>
        <v>-2,607482810742+1,78135187380711i</v>
      </c>
      <c r="BJ304" s="20">
        <f t="shared" si="302"/>
        <v>9.9879015720601352</v>
      </c>
      <c r="BK304" s="43">
        <f t="shared" si="256"/>
        <v>145.66031487352339</v>
      </c>
      <c r="BL304">
        <f t="shared" si="303"/>
        <v>0.10498497843685972</v>
      </c>
      <c r="BM304" s="43">
        <f t="shared" si="304"/>
        <v>137.23991774162664</v>
      </c>
    </row>
    <row r="305" spans="14:65" x14ac:dyDescent="0.25">
      <c r="N305" s="9">
        <v>87</v>
      </c>
      <c r="O305" s="34">
        <f t="shared" si="305"/>
        <v>7413.1024130091773</v>
      </c>
      <c r="P305" s="33" t="str">
        <f t="shared" si="257"/>
        <v>54,631621870174</v>
      </c>
      <c r="Q305" s="4" t="str">
        <f t="shared" si="258"/>
        <v>1+185,642033957517i</v>
      </c>
      <c r="R305" s="4">
        <f t="shared" si="270"/>
        <v>185.64472729351587</v>
      </c>
      <c r="S305" s="4">
        <f t="shared" si="271"/>
        <v>1.5654096678220775</v>
      </c>
      <c r="T305" s="4" t="str">
        <f t="shared" si="259"/>
        <v>1+2,32889480810184i</v>
      </c>
      <c r="U305" s="4">
        <f t="shared" si="272"/>
        <v>2.5345119899506705</v>
      </c>
      <c r="V305" s="4">
        <f t="shared" si="273"/>
        <v>1.1652146953279703</v>
      </c>
      <c r="W305" t="str">
        <f t="shared" si="260"/>
        <v>1-0,185349231421659i</v>
      </c>
      <c r="X305" s="4">
        <f t="shared" si="274"/>
        <v>1.0170321222009655</v>
      </c>
      <c r="Y305" s="4">
        <f t="shared" si="275"/>
        <v>-0.18326941964038868</v>
      </c>
      <c r="Z305" t="str">
        <f t="shared" si="261"/>
        <v>0,999780183650457+0,0254654852848519i</v>
      </c>
      <c r="AA305" s="4">
        <f t="shared" si="276"/>
        <v>1.000104447825793</v>
      </c>
      <c r="AB305" s="4">
        <f t="shared" si="277"/>
        <v>2.5465578044982003E-2</v>
      </c>
      <c r="AC305" s="47" t="str">
        <f t="shared" si="278"/>
        <v>0,62215264605885-0,433844040933641i</v>
      </c>
      <c r="AD305" s="20">
        <f t="shared" si="279"/>
        <v>-2.4010972748238486</v>
      </c>
      <c r="AE305" s="43">
        <f t="shared" si="280"/>
        <v>-34.889117310311093</v>
      </c>
      <c r="AF305" t="str">
        <f t="shared" si="262"/>
        <v>171,265703090588</v>
      </c>
      <c r="AG305" t="str">
        <f t="shared" si="263"/>
        <v>1+183,865436455609i</v>
      </c>
      <c r="AH305">
        <f t="shared" si="281"/>
        <v>183.86815581555058</v>
      </c>
      <c r="AI305">
        <f t="shared" si="282"/>
        <v>1.5653576203179493</v>
      </c>
      <c r="AJ305" t="str">
        <f t="shared" si="264"/>
        <v>1+2,32889480810184i</v>
      </c>
      <c r="AK305">
        <f t="shared" si="283"/>
        <v>2.5345119899506705</v>
      </c>
      <c r="AL305">
        <f t="shared" si="284"/>
        <v>1.1652146953279703</v>
      </c>
      <c r="AM305" t="str">
        <f t="shared" si="265"/>
        <v>1-0,0585582251445095i</v>
      </c>
      <c r="AN305">
        <f t="shared" si="285"/>
        <v>1.0017130655692152</v>
      </c>
      <c r="AO305">
        <f t="shared" si="286"/>
        <v>-5.8491429184996425E-2</v>
      </c>
      <c r="AP305" s="41" t="str">
        <f t="shared" si="287"/>
        <v>2,12045161730971-1,04697096718097i</v>
      </c>
      <c r="AQ305">
        <f t="shared" si="288"/>
        <v>7.4760314023635699</v>
      </c>
      <c r="AR305" s="43">
        <f t="shared" si="289"/>
        <v>-26.277812833934419</v>
      </c>
      <c r="AS305" t="str">
        <f t="shared" si="266"/>
        <v>-0,0000166666666666667</v>
      </c>
      <c r="AT305" t="str">
        <f t="shared" si="267"/>
        <v>0,00015435914788099i</v>
      </c>
      <c r="AU305">
        <f t="shared" si="290"/>
        <v>1.5435914788099E-4</v>
      </c>
      <c r="AV305">
        <f t="shared" si="291"/>
        <v>1.5707963267948966</v>
      </c>
      <c r="AW305" t="str">
        <f t="shared" si="268"/>
        <v>1+0,051946863070274i</v>
      </c>
      <c r="AX305">
        <f t="shared" si="292"/>
        <v>1.0013483292954763</v>
      </c>
      <c r="AY305">
        <f t="shared" si="293"/>
        <v>5.190021277999303E-2</v>
      </c>
      <c r="AZ305" t="str">
        <f t="shared" si="269"/>
        <v>1+12,2965645867777i</v>
      </c>
      <c r="BA305">
        <f t="shared" si="294"/>
        <v>12.337159342279543</v>
      </c>
      <c r="BB305">
        <f t="shared" si="295"/>
        <v>1.4896513700692462</v>
      </c>
      <c r="BC305" s="41" t="str">
        <f t="shared" si="296"/>
        <v>-1,31853375712417+0,176466993084025i</v>
      </c>
      <c r="BD305">
        <f t="shared" si="297"/>
        <v>2.4789274716008869</v>
      </c>
      <c r="BE305" s="43">
        <f t="shared" si="298"/>
        <v>172.377073302724</v>
      </c>
      <c r="BF305" s="41" t="str">
        <f t="shared" si="299"/>
        <v>-0,743770112541737+0,681827419987441i</v>
      </c>
      <c r="BG305" s="20">
        <f t="shared" si="300"/>
        <v>7.7830196777039395E-2</v>
      </c>
      <c r="BH305" s="43">
        <f t="shared" si="301"/>
        <v>137.48795599241288</v>
      </c>
      <c r="BI305" s="41" t="str">
        <f t="shared" si="255"/>
        <v>-2,6111312193467+1,75465628384385i</v>
      </c>
      <c r="BJ305" s="20">
        <f t="shared" si="302"/>
        <v>9.9549588739644594</v>
      </c>
      <c r="BK305" s="43">
        <f t="shared" si="256"/>
        <v>146.09926046878965</v>
      </c>
      <c r="BL305">
        <f t="shared" si="303"/>
        <v>7.7830196777039395E-2</v>
      </c>
      <c r="BM305" s="43">
        <f t="shared" si="304"/>
        <v>137.48795599241288</v>
      </c>
    </row>
    <row r="306" spans="14:65" x14ac:dyDescent="0.25">
      <c r="N306" s="9">
        <v>88</v>
      </c>
      <c r="O306" s="34">
        <f t="shared" si="305"/>
        <v>7585.7757502918394</v>
      </c>
      <c r="P306" s="33" t="str">
        <f t="shared" si="257"/>
        <v>54,631621870174</v>
      </c>
      <c r="Q306" s="4" t="str">
        <f t="shared" si="258"/>
        <v>1+189,966192421472i</v>
      </c>
      <c r="R306" s="4">
        <f t="shared" si="270"/>
        <v>189.96882445051799</v>
      </c>
      <c r="S306" s="4">
        <f t="shared" si="271"/>
        <v>1.5655322808585663</v>
      </c>
      <c r="T306" s="4" t="str">
        <f t="shared" si="259"/>
        <v>1+2,38314173688965i</v>
      </c>
      <c r="U306" s="4">
        <f t="shared" si="272"/>
        <v>2.5844466599458804</v>
      </c>
      <c r="V306" s="4">
        <f t="shared" si="273"/>
        <v>1.1734963705799262</v>
      </c>
      <c r="W306" t="str">
        <f t="shared" si="260"/>
        <v>1-0,189666569638407i</v>
      </c>
      <c r="X306" s="4">
        <f t="shared" si="274"/>
        <v>1.0178277887925837</v>
      </c>
      <c r="Y306" s="4">
        <f t="shared" si="275"/>
        <v>-0.18744011393107773</v>
      </c>
      <c r="Z306" t="str">
        <f t="shared" si="261"/>
        <v>0,999769824025065+0,0260586526370176i</v>
      </c>
      <c r="AA306" s="4">
        <f t="shared" si="276"/>
        <v>1.0001093712231508</v>
      </c>
      <c r="AB306" s="4">
        <f t="shared" si="277"/>
        <v>2.6058752018275334E-2</v>
      </c>
      <c r="AC306" s="47" t="str">
        <f t="shared" si="278"/>
        <v>0,621917044755506-0,430548857780173i</v>
      </c>
      <c r="AD306" s="20">
        <f t="shared" si="279"/>
        <v>-2.4248772226684561</v>
      </c>
      <c r="AE306" s="43">
        <f t="shared" si="280"/>
        <v>-34.694587026262646</v>
      </c>
      <c r="AF306" t="str">
        <f t="shared" si="262"/>
        <v>171,265703090588</v>
      </c>
      <c r="AG306" t="str">
        <f t="shared" si="263"/>
        <v>1+188,148212647667i</v>
      </c>
      <c r="AH306">
        <f t="shared" si="281"/>
        <v>188.15087010830359</v>
      </c>
      <c r="AI306">
        <f t="shared" si="282"/>
        <v>1.5654814180332075</v>
      </c>
      <c r="AJ306" t="str">
        <f t="shared" si="264"/>
        <v>1+2,38314173688965i</v>
      </c>
      <c r="AK306">
        <f t="shared" si="283"/>
        <v>2.5844466599458804</v>
      </c>
      <c r="AL306">
        <f t="shared" si="284"/>
        <v>1.1734963705799262</v>
      </c>
      <c r="AM306" t="str">
        <f t="shared" si="265"/>
        <v>1-0,0599222214307753i</v>
      </c>
      <c r="AN306">
        <f t="shared" si="285"/>
        <v>1.0017937275812816</v>
      </c>
      <c r="AO306">
        <f t="shared" si="286"/>
        <v>-5.9850655190220432E-2</v>
      </c>
      <c r="AP306" s="41" t="str">
        <f t="shared" si="287"/>
        <v>2,12022643648362-1,02899068388695i</v>
      </c>
      <c r="AQ306">
        <f t="shared" si="288"/>
        <v>7.4462010426747094</v>
      </c>
      <c r="AR306" s="43">
        <f t="shared" si="289"/>
        <v>-25.888278794800854</v>
      </c>
      <c r="AS306" t="str">
        <f t="shared" si="266"/>
        <v>-0,0000166666666666667</v>
      </c>
      <c r="AT306" t="str">
        <f t="shared" si="267"/>
        <v>0,000157954634321046i</v>
      </c>
      <c r="AU306">
        <f t="shared" si="290"/>
        <v>1.5795463432104599E-4</v>
      </c>
      <c r="AV306">
        <f t="shared" si="291"/>
        <v>1.5707963267948966</v>
      </c>
      <c r="AW306" t="str">
        <f t="shared" si="268"/>
        <v>1+0,0531568609507793i</v>
      </c>
      <c r="AX306">
        <f t="shared" si="292"/>
        <v>1.0014118293020811</v>
      </c>
      <c r="AY306">
        <f t="shared" si="293"/>
        <v>5.3106878069538434E-2</v>
      </c>
      <c r="AZ306" t="str">
        <f t="shared" si="269"/>
        <v>1+12,5829883707773i</v>
      </c>
      <c r="BA306">
        <f t="shared" si="294"/>
        <v>12.622662014769974</v>
      </c>
      <c r="BB306">
        <f t="shared" si="295"/>
        <v>1.4914906303625255</v>
      </c>
      <c r="BC306" s="41" t="str">
        <f t="shared" si="296"/>
        <v>-1,31836654470416+0,175595755265087i</v>
      </c>
      <c r="BD306">
        <f t="shared" si="297"/>
        <v>2.4770922719375168</v>
      </c>
      <c r="BE306" s="43">
        <f t="shared" si="298"/>
        <v>172.41331832657906</v>
      </c>
      <c r="BF306" s="41" t="str">
        <f t="shared" si="299"/>
        <v>-0,744312073526509+0,676827203144043i</v>
      </c>
      <c r="BG306" s="20">
        <f t="shared" si="300"/>
        <v>5.2215049269057415E-2</v>
      </c>
      <c r="BH306" s="43">
        <f t="shared" si="301"/>
        <v>137.71873130031645</v>
      </c>
      <c r="BI306" s="41" t="str">
        <f t="shared" ref="BI306:BI369" si="306">IMPRODUCT(AP306,BC306)</f>
        <v>-2,61454920475946+1,72888965489615i</v>
      </c>
      <c r="BJ306" s="20">
        <f t="shared" si="302"/>
        <v>9.9232933146122253</v>
      </c>
      <c r="BK306" s="43">
        <f t="shared" ref="BK306:BK369" si="307">(180/PI())*IMARGUMENT(BI306)</f>
        <v>146.5250395317783</v>
      </c>
      <c r="BL306">
        <f t="shared" si="303"/>
        <v>5.2215049269057415E-2</v>
      </c>
      <c r="BM306" s="43">
        <f t="shared" si="304"/>
        <v>137.71873130031645</v>
      </c>
    </row>
    <row r="307" spans="14:65" x14ac:dyDescent="0.25">
      <c r="N307" s="9">
        <v>89</v>
      </c>
      <c r="O307" s="34">
        <f t="shared" si="305"/>
        <v>7762.4711662869322</v>
      </c>
      <c r="P307" s="33" t="str">
        <f t="shared" si="257"/>
        <v>54,631621870174</v>
      </c>
      <c r="Q307" s="4" t="str">
        <f t="shared" si="258"/>
        <v>1+194,39107347515i</v>
      </c>
      <c r="R307" s="4">
        <f t="shared" si="270"/>
        <v>194.39364559270234</v>
      </c>
      <c r="S307" s="4">
        <f t="shared" si="271"/>
        <v>1.5656521030345418</v>
      </c>
      <c r="T307" s="4" t="str">
        <f t="shared" si="259"/>
        <v>1+2,43865223897096i</v>
      </c>
      <c r="U307" s="4">
        <f t="shared" si="272"/>
        <v>2.6357209151649719</v>
      </c>
      <c r="V307" s="4">
        <f t="shared" si="273"/>
        <v>1.1816455328583113</v>
      </c>
      <c r="W307" t="str">
        <f t="shared" si="260"/>
        <v>1-0,194084471580912i</v>
      </c>
      <c r="X307" s="4">
        <f t="shared" si="274"/>
        <v>1.0186602878824922</v>
      </c>
      <c r="Y307" s="4">
        <f t="shared" si="275"/>
        <v>-0.19170113524876845</v>
      </c>
      <c r="Z307" t="str">
        <f t="shared" si="261"/>
        <v>0,99975897616557+0,0266656366317385i</v>
      </c>
      <c r="AA307" s="4">
        <f t="shared" si="276"/>
        <v>1.000114526742115</v>
      </c>
      <c r="AB307" s="4">
        <f t="shared" si="277"/>
        <v>2.6665743106074755E-2</v>
      </c>
      <c r="AC307" s="47" t="str">
        <f t="shared" si="278"/>
        <v>0,621676841232601-0,427481661160025i</v>
      </c>
      <c r="AD307" s="20">
        <f t="shared" si="279"/>
        <v>-2.4471781531886352</v>
      </c>
      <c r="AE307" s="43">
        <f t="shared" si="280"/>
        <v>-34.513456291571401</v>
      </c>
      <c r="AF307" t="str">
        <f t="shared" si="262"/>
        <v>171,265703090588</v>
      </c>
      <c r="AG307" t="str">
        <f t="shared" si="263"/>
        <v>1+192,530747512507i</v>
      </c>
      <c r="AH307">
        <f t="shared" si="281"/>
        <v>192.53334448277971</v>
      </c>
      <c r="AI307">
        <f t="shared" si="282"/>
        <v>1.5656023979258475</v>
      </c>
      <c r="AJ307" t="str">
        <f t="shared" si="264"/>
        <v>1+2,43865223897096i</v>
      </c>
      <c r="AK307">
        <f t="shared" si="283"/>
        <v>2.6357209151649719</v>
      </c>
      <c r="AL307">
        <f t="shared" si="284"/>
        <v>1.1816455328583113</v>
      </c>
      <c r="AM307" t="str">
        <f t="shared" si="265"/>
        <v>1-0,061317989272008i</v>
      </c>
      <c r="AN307">
        <f t="shared" si="285"/>
        <v>1.0018781841163935</v>
      </c>
      <c r="AO307">
        <f t="shared" si="286"/>
        <v>-6.1241312425712825E-2</v>
      </c>
      <c r="AP307" s="41" t="str">
        <f t="shared" si="287"/>
        <v>2,1200113899045-1,01155587731601i</v>
      </c>
      <c r="AQ307">
        <f t="shared" si="288"/>
        <v>7.4175757916373151</v>
      </c>
      <c r="AR307" s="43">
        <f t="shared" si="289"/>
        <v>-25.507976617279255</v>
      </c>
      <c r="AS307" t="str">
        <f t="shared" si="266"/>
        <v>-0,0000166666666666667</v>
      </c>
      <c r="AT307" t="str">
        <f t="shared" si="267"/>
        <v>0,000161633870398995i</v>
      </c>
      <c r="AU307">
        <f t="shared" si="290"/>
        <v>1.6163387039899499E-4</v>
      </c>
      <c r="AV307">
        <f t="shared" si="291"/>
        <v>1.5707963267948966</v>
      </c>
      <c r="AW307" t="str">
        <f t="shared" si="268"/>
        <v>1+0,0543950433025749i</v>
      </c>
      <c r="AX307">
        <f t="shared" si="292"/>
        <v>1.0014783176563979</v>
      </c>
      <c r="AY307">
        <f t="shared" si="293"/>
        <v>5.4341489949319956E-2</v>
      </c>
      <c r="AZ307" t="str">
        <f t="shared" si="269"/>
        <v>1+12,8760838217667i</v>
      </c>
      <c r="BA307">
        <f t="shared" si="294"/>
        <v>12.914857126006549</v>
      </c>
      <c r="BB307">
        <f t="shared" si="295"/>
        <v>1.4932885436921133</v>
      </c>
      <c r="BC307" s="41" t="str">
        <f t="shared" si="296"/>
        <v>-1,31819149725551+0,174816785087014i</v>
      </c>
      <c r="BD307">
        <f t="shared" si="297"/>
        <v>2.4752886420997817</v>
      </c>
      <c r="BE307" s="43">
        <f t="shared" si="298"/>
        <v>172.44559312224646</v>
      </c>
      <c r="BF307" s="41" t="str">
        <f t="shared" si="299"/>
        <v>-0,744758156465827+0,672182237721139i</v>
      </c>
      <c r="BG307" s="20">
        <f t="shared" si="300"/>
        <v>2.8110488911147632E-2</v>
      </c>
      <c r="BH307" s="43">
        <f t="shared" si="301"/>
        <v>137.93213683067509</v>
      </c>
      <c r="BI307" s="41" t="str">
        <f t="shared" si="306"/>
        <v>-2,61774404184869+1,70403793200776i</v>
      </c>
      <c r="BJ307" s="20">
        <f t="shared" si="302"/>
        <v>9.8928644337371008</v>
      </c>
      <c r="BK307" s="43">
        <f t="shared" si="307"/>
        <v>146.9376165049672</v>
      </c>
      <c r="BL307">
        <f t="shared" si="303"/>
        <v>2.8110488911147632E-2</v>
      </c>
      <c r="BM307" s="43">
        <f t="shared" si="304"/>
        <v>137.93213683067509</v>
      </c>
    </row>
    <row r="308" spans="14:65" x14ac:dyDescent="0.25">
      <c r="N308" s="9">
        <v>90</v>
      </c>
      <c r="O308" s="34">
        <f t="shared" si="305"/>
        <v>7943.2823472428154</v>
      </c>
      <c r="P308" s="33" t="str">
        <f t="shared" si="257"/>
        <v>54,631621870174</v>
      </c>
      <c r="Q308" s="4" t="str">
        <f t="shared" si="258"/>
        <v>1+198,919023249054i</v>
      </c>
      <c r="R308" s="4">
        <f t="shared" si="270"/>
        <v>198.92153681881126</v>
      </c>
      <c r="S308" s="4">
        <f t="shared" si="271"/>
        <v>1.5657691978675372</v>
      </c>
      <c r="T308" s="4" t="str">
        <f t="shared" si="259"/>
        <v>1+2,49545574674875i</v>
      </c>
      <c r="U308" s="4">
        <f t="shared" si="272"/>
        <v>2.6883637000936766</v>
      </c>
      <c r="V308" s="4">
        <f t="shared" si="273"/>
        <v>1.1896621724962448</v>
      </c>
      <c r="W308" t="str">
        <f t="shared" si="260"/>
        <v>1-0,19860527967926i</v>
      </c>
      <c r="X308" s="4">
        <f t="shared" si="274"/>
        <v>1.0195312928578883</v>
      </c>
      <c r="Y308" s="4">
        <f t="shared" si="275"/>
        <v>-0.19605412362888638</v>
      </c>
      <c r="Z308" t="str">
        <f t="shared" si="261"/>
        <v>0,999747617062208+0,027286759099963i</v>
      </c>
      <c r="AA308" s="4">
        <f t="shared" si="276"/>
        <v>1.0001199253308291</v>
      </c>
      <c r="AB308" s="4">
        <f t="shared" si="277"/>
        <v>2.7286873172888571E-2</v>
      </c>
      <c r="AC308" s="47" t="str">
        <f t="shared" si="278"/>
        <v>0,621431526482257-0,42464080824853i</v>
      </c>
      <c r="AD308" s="20">
        <f t="shared" si="279"/>
        <v>-2.4680241778343022</v>
      </c>
      <c r="AE308" s="43">
        <f t="shared" si="280"/>
        <v>-34.345841707981322</v>
      </c>
      <c r="AF308" t="str">
        <f t="shared" si="262"/>
        <v>171,265703090588</v>
      </c>
      <c r="AG308" t="str">
        <f t="shared" si="263"/>
        <v>1+197,015364728124i</v>
      </c>
      <c r="AH308">
        <f t="shared" si="281"/>
        <v>197.01790258490658</v>
      </c>
      <c r="AI308">
        <f t="shared" si="282"/>
        <v>1.5657206241268364</v>
      </c>
      <c r="AJ308" t="str">
        <f t="shared" si="264"/>
        <v>1+2,49545574674875i</v>
      </c>
      <c r="AK308">
        <f t="shared" si="283"/>
        <v>2.6883637000936766</v>
      </c>
      <c r="AL308">
        <f t="shared" si="284"/>
        <v>1.1896621724962448</v>
      </c>
      <c r="AM308" t="str">
        <f t="shared" si="265"/>
        <v>1-0,0627462687227921i</v>
      </c>
      <c r="AN308">
        <f t="shared" si="285"/>
        <v>1.0019666133353111</v>
      </c>
      <c r="AO308">
        <f t="shared" si="286"/>
        <v>-6.2664116708752146E-2</v>
      </c>
      <c r="AP308" s="41" t="str">
        <f t="shared" si="287"/>
        <v>2,11980602150534-0,994657310494931i</v>
      </c>
      <c r="AQ308">
        <f t="shared" si="288"/>
        <v>7.3901196739028139</v>
      </c>
      <c r="AR308" s="43">
        <f t="shared" si="289"/>
        <v>-25.136951542984278</v>
      </c>
      <c r="AS308" t="str">
        <f t="shared" si="266"/>
        <v>-0,0000166666666666667</v>
      </c>
      <c r="AT308" t="str">
        <f t="shared" si="267"/>
        <v>0,000165398806894507i</v>
      </c>
      <c r="AU308">
        <f t="shared" si="290"/>
        <v>1.65398806894507E-4</v>
      </c>
      <c r="AV308">
        <f t="shared" si="291"/>
        <v>1.5707963267948966</v>
      </c>
      <c r="AW308" t="str">
        <f t="shared" si="268"/>
        <v>1+0,055662066626333i</v>
      </c>
      <c r="AX308">
        <f t="shared" si="292"/>
        <v>1.0015479347795164</v>
      </c>
      <c r="AY308">
        <f t="shared" si="293"/>
        <v>5.5604687963343814E-2</v>
      </c>
      <c r="AZ308" t="str">
        <f t="shared" si="269"/>
        <v>1+13,1760063428334i</v>
      </c>
      <c r="BA308">
        <f t="shared" si="294"/>
        <v>13.213899619203485</v>
      </c>
      <c r="BB308">
        <f t="shared" si="295"/>
        <v>1.4950460168155661</v>
      </c>
      <c r="BC308" s="41" t="str">
        <f t="shared" si="296"/>
        <v>-1,31800824988976+0,174129610128172i</v>
      </c>
      <c r="BD308">
        <f t="shared" si="297"/>
        <v>2.4735128146599719</v>
      </c>
      <c r="BE308" s="43">
        <f t="shared" si="298"/>
        <v>172.47391299993515</v>
      </c>
      <c r="BF308" s="41" t="str">
        <f t="shared" si="299"/>
        <v>-0,745109340260373+0,667889717939128i</v>
      </c>
      <c r="BG308" s="20">
        <f t="shared" si="300"/>
        <v>5.4886368256642278E-3</v>
      </c>
      <c r="BH308" s="43">
        <f t="shared" si="301"/>
        <v>138.12807129195383</v>
      </c>
      <c r="BI308" s="41" t="str">
        <f t="shared" si="306"/>
        <v>-2,62072253482241+1,68008753711756i</v>
      </c>
      <c r="BJ308" s="20">
        <f t="shared" si="302"/>
        <v>9.8636324885627946</v>
      </c>
      <c r="BK308" s="43">
        <f t="shared" si="307"/>
        <v>147.3369614569508</v>
      </c>
      <c r="BL308">
        <f t="shared" si="303"/>
        <v>5.4886368256642278E-3</v>
      </c>
      <c r="BM308" s="43">
        <f t="shared" si="304"/>
        <v>138.12807129195383</v>
      </c>
    </row>
    <row r="309" spans="14:65" x14ac:dyDescent="0.25">
      <c r="N309" s="9">
        <v>91</v>
      </c>
      <c r="O309" s="34">
        <f t="shared" si="305"/>
        <v>8128.3051616410066</v>
      </c>
      <c r="P309" s="33" t="str">
        <f t="shared" si="257"/>
        <v>54,631621870174</v>
      </c>
      <c r="Q309" s="4" t="str">
        <f t="shared" si="258"/>
        <v>1+203,55244252209i</v>
      </c>
      <c r="R309" s="4">
        <f t="shared" si="270"/>
        <v>203.55489887671274</v>
      </c>
      <c r="S309" s="4">
        <f t="shared" si="271"/>
        <v>1.5658836274299315</v>
      </c>
      <c r="T309" s="4" t="str">
        <f t="shared" si="259"/>
        <v>1+2,55358237819474i</v>
      </c>
      <c r="U309" s="4">
        <f t="shared" si="272"/>
        <v>2.7424045949178804</v>
      </c>
      <c r="V309" s="4">
        <f t="shared" si="273"/>
        <v>1.1975464173677854</v>
      </c>
      <c r="W309" t="str">
        <f t="shared" si="260"/>
        <v>1-0,203231390925746i</v>
      </c>
      <c r="X309" s="4">
        <f t="shared" si="274"/>
        <v>1.0204425501994776</v>
      </c>
      <c r="Y309" s="4">
        <f t="shared" si="275"/>
        <v>-0.20050072690589238</v>
      </c>
      <c r="Z309" t="str">
        <f t="shared" si="261"/>
        <v>0,999735722620797+0,0279223493690453i</v>
      </c>
      <c r="AA309" s="4">
        <f t="shared" si="276"/>
        <v>1.0001255784542331</v>
      </c>
      <c r="AB309" s="4">
        <f t="shared" si="277"/>
        <v>2.7922471582007502E-2</v>
      </c>
      <c r="AC309" s="47" t="str">
        <f t="shared" si="278"/>
        <v>0,621180580698557-0,422024774739343i</v>
      </c>
      <c r="AD309" s="20">
        <f t="shared" si="279"/>
        <v>-2.4874382465175309</v>
      </c>
      <c r="AE309" s="43">
        <f t="shared" si="280"/>
        <v>-34.191852790420356</v>
      </c>
      <c r="AF309" t="str">
        <f t="shared" si="262"/>
        <v>171,265703090588</v>
      </c>
      <c r="AG309" t="str">
        <f t="shared" si="263"/>
        <v>1+201,604442097926i</v>
      </c>
      <c r="AH309">
        <f t="shared" si="281"/>
        <v>201.6069221867543</v>
      </c>
      <c r="AI309">
        <f t="shared" si="282"/>
        <v>1.565836159308043</v>
      </c>
      <c r="AJ309" t="str">
        <f t="shared" si="264"/>
        <v>1+2,55358237819474i</v>
      </c>
      <c r="AK309">
        <f t="shared" si="283"/>
        <v>2.7424045949178804</v>
      </c>
      <c r="AL309">
        <f t="shared" si="284"/>
        <v>1.1975464173677854</v>
      </c>
      <c r="AM309" t="str">
        <f t="shared" si="265"/>
        <v>1-0,0642078170757985i</v>
      </c>
      <c r="AN309">
        <f t="shared" si="285"/>
        <v>1.0020592017309353</v>
      </c>
      <c r="AO309">
        <f t="shared" si="286"/>
        <v>-6.4119799373716951E-2</v>
      </c>
      <c r="AP309" s="41" t="str">
        <f t="shared" si="287"/>
        <v>2,11960989574122-0,978286030291888i</v>
      </c>
      <c r="AQ309">
        <f t="shared" si="288"/>
        <v>7.3637974114963791</v>
      </c>
      <c r="AR309" s="43">
        <f t="shared" si="289"/>
        <v>-24.775241738478542</v>
      </c>
      <c r="AS309" t="str">
        <f t="shared" si="266"/>
        <v>-0,0000166666666666667</v>
      </c>
      <c r="AT309" t="str">
        <f t="shared" si="267"/>
        <v>0,000169251440026747i</v>
      </c>
      <c r="AU309">
        <f t="shared" si="290"/>
        <v>1.6925144002674701E-4</v>
      </c>
      <c r="AV309">
        <f t="shared" si="291"/>
        <v>1.5707963267948966</v>
      </c>
      <c r="AW309" t="str">
        <f t="shared" si="268"/>
        <v>1+0,0569586027145912i</v>
      </c>
      <c r="AX309">
        <f t="shared" si="292"/>
        <v>1.0016208276704306</v>
      </c>
      <c r="AY309">
        <f t="shared" si="293"/>
        <v>5.6897125741613014E-2</v>
      </c>
      <c r="AZ309" t="str">
        <f t="shared" si="269"/>
        <v>1+13,4829149568682i</v>
      </c>
      <c r="BA309">
        <f t="shared" si="294"/>
        <v>13.51994806699124</v>
      </c>
      <c r="BB309">
        <f t="shared" si="295"/>
        <v>1.4967639381174977</v>
      </c>
      <c r="BC309" s="41" t="str">
        <f t="shared" si="296"/>
        <v>-1,31781642094+0,173533802432955i</v>
      </c>
      <c r="BD309">
        <f t="shared" si="297"/>
        <v>2.4717610780098362</v>
      </c>
      <c r="BE309" s="43">
        <f t="shared" si="298"/>
        <v>172.49829141009337</v>
      </c>
      <c r="BF309" s="41" t="str">
        <f t="shared" si="299"/>
        <v>-0,745366405732174+0,663947006361142i</v>
      </c>
      <c r="BG309" s="20">
        <f t="shared" si="300"/>
        <v>-1.5677168507694971E-2</v>
      </c>
      <c r="BH309" s="43">
        <f t="shared" si="301"/>
        <v>138.30643861967303</v>
      </c>
      <c r="BI309" s="41" t="str">
        <f t="shared" si="306"/>
        <v>-2,62349103189111+1,65702535997735i</v>
      </c>
      <c r="BJ309" s="20">
        <f t="shared" si="302"/>
        <v>9.8355584895062194</v>
      </c>
      <c r="BK309" s="43">
        <f t="shared" si="307"/>
        <v>147.72304967161483</v>
      </c>
      <c r="BL309">
        <f t="shared" si="303"/>
        <v>-1.5677168507694971E-2</v>
      </c>
      <c r="BM309" s="43">
        <f t="shared" si="304"/>
        <v>138.30643861967303</v>
      </c>
    </row>
    <row r="310" spans="14:65" x14ac:dyDescent="0.25">
      <c r="N310" s="9">
        <v>92</v>
      </c>
      <c r="O310" s="34">
        <f t="shared" si="305"/>
        <v>8317.6377110267094</v>
      </c>
      <c r="P310" s="33" t="str">
        <f t="shared" si="257"/>
        <v>54,631621870174</v>
      </c>
      <c r="Q310" s="4" t="str">
        <f t="shared" si="258"/>
        <v>1+208,293787994485i</v>
      </c>
      <c r="R310" s="4">
        <f t="shared" si="270"/>
        <v>208.29618843630209</v>
      </c>
      <c r="S310" s="4">
        <f t="shared" si="271"/>
        <v>1.5659954523817994</v>
      </c>
      <c r="T310" s="4" t="str">
        <f t="shared" si="259"/>
        <v>1+2,6130629528183i</v>
      </c>
      <c r="U310" s="4">
        <f t="shared" si="272"/>
        <v>2.7978738347880334</v>
      </c>
      <c r="V310" s="4">
        <f t="shared" si="273"/>
        <v>1.2052985260103752</v>
      </c>
      <c r="W310" t="str">
        <f t="shared" si="260"/>
        <v>1-0,207965258145786i</v>
      </c>
      <c r="X310" s="4">
        <f t="shared" si="274"/>
        <v>1.0213958824058591</v>
      </c>
      <c r="Y310" s="4">
        <f t="shared" si="275"/>
        <v>-0.20504259903730859</v>
      </c>
      <c r="Z310" t="str">
        <f t="shared" si="261"/>
        <v>0,999723267611632+0,0285727444373589i</v>
      </c>
      <c r="AA310" s="4">
        <f t="shared" si="276"/>
        <v>1.0001314981185032</v>
      </c>
      <c r="AB310" s="4">
        <f t="shared" si="277"/>
        <v>2.8572875370285158E-2</v>
      </c>
      <c r="AC310" s="47" t="str">
        <f t="shared" si="278"/>
        <v>0,620923472179555-0,41963215395016i</v>
      </c>
      <c r="AD310" s="20">
        <f t="shared" si="279"/>
        <v>-2.505442095204736</v>
      </c>
      <c r="AE310" s="43">
        <f t="shared" si="280"/>
        <v>-34.05159227692522</v>
      </c>
      <c r="AF310" t="str">
        <f t="shared" si="262"/>
        <v>171,265703090588</v>
      </c>
      <c r="AG310" t="str">
        <f t="shared" si="263"/>
        <v>1+206,300412811479i</v>
      </c>
      <c r="AH310">
        <f t="shared" si="281"/>
        <v>206.30283644726421</v>
      </c>
      <c r="AI310">
        <f t="shared" si="282"/>
        <v>1.5659490647154053</v>
      </c>
      <c r="AJ310" t="str">
        <f t="shared" si="264"/>
        <v>1+2,6130629528183i</v>
      </c>
      <c r="AK310">
        <f t="shared" si="283"/>
        <v>2.7978738347880334</v>
      </c>
      <c r="AL310">
        <f t="shared" si="284"/>
        <v>1.2052985260103752</v>
      </c>
      <c r="AM310" t="str">
        <f t="shared" si="265"/>
        <v>1-0,065703409263309i</v>
      </c>
      <c r="AN310">
        <f t="shared" si="285"/>
        <v>1.0021561445148266</v>
      </c>
      <c r="AO310">
        <f t="shared" si="286"/>
        <v>-6.5609107552035834E-2</v>
      </c>
      <c r="AP310" s="41" t="str">
        <f t="shared" si="287"/>
        <v>2,11942259666597-0,96243336270145i</v>
      </c>
      <c r="AQ310">
        <f t="shared" si="288"/>
        <v>7.3385744627011507</v>
      </c>
      <c r="AR310" s="43">
        <f t="shared" si="289"/>
        <v>-24.422878707269255</v>
      </c>
      <c r="AS310" t="str">
        <f t="shared" si="266"/>
        <v>-0,0000166666666666667</v>
      </c>
      <c r="AT310" t="str">
        <f t="shared" si="267"/>
        <v>0,000173193812512796i</v>
      </c>
      <c r="AU310">
        <f t="shared" si="290"/>
        <v>1.7319381251279601E-4</v>
      </c>
      <c r="AV310">
        <f t="shared" si="291"/>
        <v>1.5707963267948966</v>
      </c>
      <c r="AW310" t="str">
        <f t="shared" si="268"/>
        <v>1+0,0582853390079446i</v>
      </c>
      <c r="AX310">
        <f t="shared" si="292"/>
        <v>1.0016971502122141</v>
      </c>
      <c r="AY310">
        <f t="shared" si="293"/>
        <v>5.8219471270909498E-2</v>
      </c>
      <c r="AZ310" t="str">
        <f t="shared" si="269"/>
        <v>1+13,7969723908806i</v>
      </c>
      <c r="BA310">
        <f t="shared" si="294"/>
        <v>13.833164755569188</v>
      </c>
      <c r="BB310">
        <f t="shared" si="295"/>
        <v>1.4984431778796465</v>
      </c>
      <c r="BC310" s="41" t="str">
        <f t="shared" si="296"/>
        <v>-1,31761561121003+0,173028977989375i</v>
      </c>
      <c r="BD310">
        <f t="shared" si="297"/>
        <v>2.4700297689477329</v>
      </c>
      <c r="BE310" s="43">
        <f t="shared" si="298"/>
        <v>172.51873994336836</v>
      </c>
      <c r="BF310" s="41" t="str">
        <f t="shared" si="299"/>
        <v>-0,745529937581042+0,660351630811264i</v>
      </c>
      <c r="BG310" s="20">
        <f t="shared" si="300"/>
        <v>-3.5412326257004301E-2</v>
      </c>
      <c r="BH310" s="43">
        <f t="shared" si="301"/>
        <v>138.46714766644314</v>
      </c>
      <c r="BI310" s="41" t="str">
        <f t="shared" si="306"/>
        <v>-2,62605543898727+1,6348387492735i</v>
      </c>
      <c r="BJ310" s="20">
        <f t="shared" si="302"/>
        <v>9.8086042316488893</v>
      </c>
      <c r="BK310" s="43">
        <f t="shared" si="307"/>
        <v>148.09586123609901</v>
      </c>
      <c r="BL310">
        <f t="shared" si="303"/>
        <v>-3.5412326257004301E-2</v>
      </c>
      <c r="BM310" s="43">
        <f t="shared" si="304"/>
        <v>138.46714766644314</v>
      </c>
    </row>
    <row r="311" spans="14:65" x14ac:dyDescent="0.25">
      <c r="N311" s="9">
        <v>93</v>
      </c>
      <c r="O311" s="34">
        <f t="shared" si="305"/>
        <v>8511.3803820237772</v>
      </c>
      <c r="P311" s="33" t="str">
        <f t="shared" si="257"/>
        <v>54,631621870174</v>
      </c>
      <c r="Q311" s="4" t="str">
        <f t="shared" si="258"/>
        <v>1+213,14557359037i</v>
      </c>
      <c r="R311" s="4">
        <f t="shared" si="270"/>
        <v>213.14791939206873</v>
      </c>
      <c r="S311" s="4">
        <f t="shared" si="271"/>
        <v>1.5661047320030175</v>
      </c>
      <c r="T311" s="4" t="str">
        <f t="shared" si="259"/>
        <v>1+2,67392900800742i</v>
      </c>
      <c r="U311" s="4">
        <f t="shared" si="272"/>
        <v>2.8548023293852665</v>
      </c>
      <c r="V311" s="4">
        <f t="shared" si="273"/>
        <v>1.2129188807585876</v>
      </c>
      <c r="W311" t="str">
        <f t="shared" si="260"/>
        <v>1-0,212809391298441i</v>
      </c>
      <c r="X311" s="4">
        <f t="shared" si="274"/>
        <v>1.0223931910105881</v>
      </c>
      <c r="Y311" s="4">
        <f t="shared" si="275"/>
        <v>-0.20968139829082302</v>
      </c>
      <c r="Z311" t="str">
        <f t="shared" si="261"/>
        <v>0,99971022561597+0,0292382891529783i</v>
      </c>
      <c r="AA311" s="4">
        <f t="shared" si="276"/>
        <v>1.0001376968966458</v>
      </c>
      <c r="AB311" s="4">
        <f t="shared" si="277"/>
        <v>2.9238429426998464E-2</v>
      </c>
      <c r="AC311" s="47" t="str">
        <f t="shared" si="278"/>
        <v>0,620659656204454-0,417461655983278i</v>
      </c>
      <c r="AD311" s="20">
        <f t="shared" si="279"/>
        <v>-2.522056197721497</v>
      </c>
      <c r="AE311" s="43">
        <f t="shared" si="280"/>
        <v>-33.92515643026492</v>
      </c>
      <c r="AF311" t="str">
        <f t="shared" si="262"/>
        <v>171,265703090588</v>
      </c>
      <c r="AG311" t="str">
        <f t="shared" si="263"/>
        <v>1+211,105766734613i</v>
      </c>
      <c r="AH311">
        <f t="shared" si="281"/>
        <v>211.10813520233856</v>
      </c>
      <c r="AI311">
        <f t="shared" si="282"/>
        <v>1.5660594002013435</v>
      </c>
      <c r="AJ311" t="str">
        <f t="shared" si="264"/>
        <v>1+2,67392900800742i</v>
      </c>
      <c r="AK311">
        <f t="shared" si="283"/>
        <v>2.8548023293852665</v>
      </c>
      <c r="AL311">
        <f t="shared" si="284"/>
        <v>1.2129188807585876</v>
      </c>
      <c r="AM311" t="str">
        <f t="shared" si="265"/>
        <v>1-0,0672338382680986i</v>
      </c>
      <c r="AN311">
        <f t="shared" si="285"/>
        <v>1.0022576460213515</v>
      </c>
      <c r="AO311">
        <f t="shared" si="286"/>
        <v>-6.713280445298285E-2</v>
      </c>
      <c r="AP311" s="41" t="str">
        <f t="shared" si="287"/>
        <v>2,11924372705052-0,94709090827541i</v>
      </c>
      <c r="AQ311">
        <f t="shared" si="288"/>
        <v>7.3144170567871001</v>
      </c>
      <c r="AR311" s="43">
        <f t="shared" si="289"/>
        <v>-24.079887701160544</v>
      </c>
      <c r="AS311" t="str">
        <f t="shared" si="266"/>
        <v>-0,0000166666666666667</v>
      </c>
      <c r="AT311" t="str">
        <f t="shared" si="267"/>
        <v>0,000177228014650732i</v>
      </c>
      <c r="AU311">
        <f t="shared" si="290"/>
        <v>1.7722801465073199E-4</v>
      </c>
      <c r="AV311">
        <f t="shared" si="291"/>
        <v>1.5707963267948966</v>
      </c>
      <c r="AW311" t="str">
        <f t="shared" si="268"/>
        <v>1+0,0596429789595378i</v>
      </c>
      <c r="AX311">
        <f t="shared" si="292"/>
        <v>1.0017770634922563</v>
      </c>
      <c r="AY311">
        <f t="shared" si="293"/>
        <v>5.9572407167868567E-2</v>
      </c>
      <c r="AZ311" t="str">
        <f t="shared" si="269"/>
        <v>1+14,1183451622792i</v>
      </c>
      <c r="BA311">
        <f t="shared" si="294"/>
        <v>14.153715770823309</v>
      </c>
      <c r="BB311">
        <f t="shared" si="295"/>
        <v>1.5000845885543515</v>
      </c>
      <c r="BC311" s="41" t="str">
        <f t="shared" si="296"/>
        <v>-1,31740540319191+0,172614796209462i</v>
      </c>
      <c r="BD311">
        <f t="shared" si="297"/>
        <v>2.4683152653463178</v>
      </c>
      <c r="BE311" s="43">
        <f t="shared" si="298"/>
        <v>172.53526833062915</v>
      </c>
      <c r="BF311" s="41" t="str">
        <f t="shared" si="299"/>
        <v>-0,745600325954163+0,657101281288979i</v>
      </c>
      <c r="BG311" s="20">
        <f t="shared" si="300"/>
        <v>-5.3740932375180281E-2</v>
      </c>
      <c r="BH311" s="43">
        <f t="shared" si="301"/>
        <v>138.61011190036422</v>
      </c>
      <c r="BI311" s="41" t="str">
        <f t="shared" si="306"/>
        <v>-2,62842123257312+1,61351550393897i</v>
      </c>
      <c r="BJ311" s="20">
        <f t="shared" si="302"/>
        <v>9.7827323221334179</v>
      </c>
      <c r="BK311" s="43">
        <f t="shared" si="307"/>
        <v>148.45538062946849</v>
      </c>
      <c r="BL311">
        <f t="shared" si="303"/>
        <v>-5.3740932375180281E-2</v>
      </c>
      <c r="BM311" s="43">
        <f t="shared" si="304"/>
        <v>138.61011190036422</v>
      </c>
    </row>
    <row r="312" spans="14:65" x14ac:dyDescent="0.25">
      <c r="N312" s="9">
        <v>94</v>
      </c>
      <c r="O312" s="34">
        <f t="shared" si="305"/>
        <v>8709.6358995608189</v>
      </c>
      <c r="P312" s="33" t="str">
        <f t="shared" si="257"/>
        <v>54,631621870174</v>
      </c>
      <c r="Q312" s="4" t="str">
        <f t="shared" si="258"/>
        <v>1+218,110371790688i</v>
      </c>
      <c r="R312" s="4">
        <f t="shared" si="270"/>
        <v>218.11266419598874</v>
      </c>
      <c r="S312" s="4">
        <f t="shared" si="271"/>
        <v>1.5662115242246413</v>
      </c>
      <c r="T312" s="4" t="str">
        <f t="shared" si="259"/>
        <v>1+2,73621281575022i</v>
      </c>
      <c r="U312" s="4">
        <f t="shared" si="272"/>
        <v>2.913221682789648</v>
      </c>
      <c r="V312" s="4">
        <f t="shared" si="273"/>
        <v>1.2204079809198669</v>
      </c>
      <c r="W312" t="str">
        <f t="shared" si="260"/>
        <v>1-0,217766358807228i</v>
      </c>
      <c r="X312" s="4">
        <f t="shared" si="274"/>
        <v>1.0234364596926173</v>
      </c>
      <c r="Y312" s="4">
        <f t="shared" si="275"/>
        <v>-0.2144187852879427</v>
      </c>
      <c r="Z312" t="str">
        <f t="shared" si="261"/>
        <v>0,999696568969988+0,0299193363965211i</v>
      </c>
      <c r="AA312" s="4">
        <f t="shared" si="276"/>
        <v>1.0001441879553039</v>
      </c>
      <c r="AB312" s="4">
        <f t="shared" si="277"/>
        <v>2.9919486676880918E-2</v>
      </c>
      <c r="AC312" s="47" t="str">
        <f t="shared" si="278"/>
        <v>0,620388573883627-0,415512106940124i</v>
      </c>
      <c r="AD312" s="20">
        <f t="shared" si="279"/>
        <v>-2.5372997216424267</v>
      </c>
      <c r="AE312" s="43">
        <f t="shared" si="280"/>
        <v>-33.812635329137066</v>
      </c>
      <c r="AF312" t="str">
        <f t="shared" si="262"/>
        <v>171,265703090588</v>
      </c>
      <c r="AG312" t="str">
        <f t="shared" si="263"/>
        <v>1+216,023051729585i</v>
      </c>
      <c r="AH312">
        <f t="shared" si="281"/>
        <v>216.0253662849874</v>
      </c>
      <c r="AI312">
        <f t="shared" si="282"/>
        <v>1.5661672242564411</v>
      </c>
      <c r="AJ312" t="str">
        <f t="shared" si="264"/>
        <v>1+2,73621281575022i</v>
      </c>
      <c r="AK312">
        <f t="shared" si="283"/>
        <v>2.913221682789648</v>
      </c>
      <c r="AL312">
        <f t="shared" si="284"/>
        <v>1.2204079809198669</v>
      </c>
      <c r="AM312" t="str">
        <f t="shared" si="265"/>
        <v>1-0,0687999155438828i</v>
      </c>
      <c r="AN312">
        <f t="shared" si="285"/>
        <v>1.0023639201302317</v>
      </c>
      <c r="AO312">
        <f t="shared" si="286"/>
        <v>-6.8691669644938683E-2</v>
      </c>
      <c r="AP312" s="41" t="str">
        <f t="shared" si="287"/>
        <v>2,11907290754076-0,932250537697143i</v>
      </c>
      <c r="AQ312">
        <f t="shared" si="288"/>
        <v>7.2912922247654084</v>
      </c>
      <c r="AR312" s="43">
        <f t="shared" si="289"/>
        <v>-23.746288129184457</v>
      </c>
      <c r="AS312" t="str">
        <f t="shared" si="266"/>
        <v>-0,0000166666666666667</v>
      </c>
      <c r="AT312" t="str">
        <f t="shared" si="267"/>
        <v>0,000181356185427925i</v>
      </c>
      <c r="AU312">
        <f t="shared" si="290"/>
        <v>1.81356185427925E-4</v>
      </c>
      <c r="AV312">
        <f t="shared" si="291"/>
        <v>1.5707963267948966</v>
      </c>
      <c r="AW312" t="str">
        <f t="shared" si="268"/>
        <v>1+0,0610322424080435i</v>
      </c>
      <c r="AX312">
        <f t="shared" si="292"/>
        <v>1.001860736137191</v>
      </c>
      <c r="AY312">
        <f t="shared" si="293"/>
        <v>6.0956630954114889E-2</v>
      </c>
      <c r="AZ312" t="str">
        <f t="shared" si="269"/>
        <v>1+14,4472036671612i</v>
      </c>
      <c r="BA312">
        <f t="shared" si="294"/>
        <v>14.481771086453344</v>
      </c>
      <c r="BB312">
        <f t="shared" si="295"/>
        <v>1.5016890050407399</v>
      </c>
      <c r="BC312" s="41" t="str">
        <f t="shared" si="296"/>
        <v>-1,31718536025086+0,172290959410805i</v>
      </c>
      <c r="BD312">
        <f t="shared" si="297"/>
        <v>2.4666139788893346</v>
      </c>
      <c r="BE312" s="43">
        <f t="shared" si="298"/>
        <v>172.54788444302693</v>
      </c>
      <c r="BF312" s="41" t="str">
        <f t="shared" si="299"/>
        <v>-0,745577767634904+0,654193806870432i</v>
      </c>
      <c r="BG312" s="20">
        <f t="shared" si="300"/>
        <v>-7.06857427530906E-2</v>
      </c>
      <c r="BH312" s="43">
        <f t="shared" si="301"/>
        <v>138.73524911388989</v>
      </c>
      <c r="BI312" s="41" t="str">
        <f t="shared" si="306"/>
        <v>-2,63059347156583+1,59304386464231i</v>
      </c>
      <c r="BJ312" s="20">
        <f t="shared" si="302"/>
        <v>9.7579062036547306</v>
      </c>
      <c r="BK312" s="43">
        <f t="shared" si="307"/>
        <v>148.80159631384245</v>
      </c>
      <c r="BL312">
        <f t="shared" si="303"/>
        <v>-7.06857427530906E-2</v>
      </c>
      <c r="BM312" s="43">
        <f t="shared" si="304"/>
        <v>138.73524911388989</v>
      </c>
    </row>
    <row r="313" spans="14:65" x14ac:dyDescent="0.25">
      <c r="N313" s="9">
        <v>95</v>
      </c>
      <c r="O313" s="34">
        <f t="shared" si="305"/>
        <v>8912.5093813374679</v>
      </c>
      <c r="P313" s="33" t="str">
        <f t="shared" si="257"/>
        <v>54,631621870174</v>
      </c>
      <c r="Q313" s="4" t="str">
        <f t="shared" si="258"/>
        <v>1+223,19081499716i</v>
      </c>
      <c r="R313" s="4">
        <f t="shared" si="270"/>
        <v>223.19305522147522</v>
      </c>
      <c r="S313" s="4">
        <f t="shared" si="271"/>
        <v>1.5663158856595709</v>
      </c>
      <c r="T313" s="4" t="str">
        <f t="shared" si="259"/>
        <v>1+2,79994739974599i</v>
      </c>
      <c r="U313" s="4">
        <f t="shared" si="272"/>
        <v>2.9731642136525744</v>
      </c>
      <c r="V313" s="4">
        <f t="shared" si="273"/>
        <v>1.2277664360200777</v>
      </c>
      <c r="W313" t="str">
        <f t="shared" si="260"/>
        <v>1-0,222838788921933i</v>
      </c>
      <c r="X313" s="4">
        <f t="shared" si="274"/>
        <v>1.0245277574805838</v>
      </c>
      <c r="Y313" s="4">
        <f t="shared" si="275"/>
        <v>-0.21925642089765354</v>
      </c>
      <c r="Z313" t="str">
        <f t="shared" si="261"/>
        <v>0,99968226870611+0,0306162472682505i</v>
      </c>
      <c r="AA313" s="4">
        <f t="shared" si="276"/>
        <v>1.0001509850828454</v>
      </c>
      <c r="AB313" s="4">
        <f t="shared" si="277"/>
        <v>3.0616408267429254E-2</v>
      </c>
      <c r="AC313" s="47" t="str">
        <f t="shared" si="278"/>
        <v>0,620109650979091-0,413782448188811i</v>
      </c>
      <c r="AD313" s="20">
        <f t="shared" si="279"/>
        <v>-2.5511904881336047</v>
      </c>
      <c r="AE313" s="43">
        <f t="shared" si="280"/>
        <v>-33.714113146972487</v>
      </c>
      <c r="AF313" t="str">
        <f t="shared" si="262"/>
        <v>171,265703090588</v>
      </c>
      <c r="AG313" t="str">
        <f t="shared" si="263"/>
        <v>1+221,054875005987i</v>
      </c>
      <c r="AH313">
        <f t="shared" si="281"/>
        <v>221.05713687622148</v>
      </c>
      <c r="AI313">
        <f t="shared" si="282"/>
        <v>1.5662725940404048</v>
      </c>
      <c r="AJ313" t="str">
        <f t="shared" si="264"/>
        <v>1+2,79994739974599i</v>
      </c>
      <c r="AK313">
        <f t="shared" si="283"/>
        <v>2.9731642136525744</v>
      </c>
      <c r="AL313">
        <f t="shared" si="284"/>
        <v>1.2277664360200777</v>
      </c>
      <c r="AM313" t="str">
        <f t="shared" si="265"/>
        <v>1-0,070402471445563i</v>
      </c>
      <c r="AN313">
        <f t="shared" si="285"/>
        <v>1.0024751907083005</v>
      </c>
      <c r="AO313">
        <f t="shared" si="286"/>
        <v>-7.028649933672447E-2</v>
      </c>
      <c r="AP313" s="41" t="str">
        <f t="shared" si="287"/>
        <v>2,11890977585331-0,917904387497418i</v>
      </c>
      <c r="AQ313">
        <f t="shared" si="288"/>
        <v>7.2691678263624384</v>
      </c>
      <c r="AR313" s="43">
        <f t="shared" si="289"/>
        <v>-23.422093962496689</v>
      </c>
      <c r="AS313" t="str">
        <f t="shared" si="266"/>
        <v>-0,0000166666666666667</v>
      </c>
      <c r="AT313" t="str">
        <f t="shared" si="267"/>
        <v>0,000185580513655164i</v>
      </c>
      <c r="AU313">
        <f t="shared" si="290"/>
        <v>1.85580513655164E-4</v>
      </c>
      <c r="AV313">
        <f t="shared" si="291"/>
        <v>1.5707963267948966</v>
      </c>
      <c r="AW313" t="str">
        <f t="shared" si="268"/>
        <v>1+0,0624538659593312i</v>
      </c>
      <c r="AX313">
        <f t="shared" si="292"/>
        <v>1.0019483446631698</v>
      </c>
      <c r="AY313">
        <f t="shared" si="293"/>
        <v>6.2372855333217708E-2</v>
      </c>
      <c r="AZ313" t="str">
        <f t="shared" si="269"/>
        <v>1+14,7837222706588i</v>
      </c>
      <c r="BA313">
        <f t="shared" si="294"/>
        <v>14.817504654157291</v>
      </c>
      <c r="BB313">
        <f t="shared" si="295"/>
        <v>1.5032572449630155</v>
      </c>
      <c r="BC313" s="41" t="str">
        <f t="shared" si="296"/>
        <v>-1,31695502577617+0,172057212297465i</v>
      </c>
      <c r="BD313">
        <f t="shared" si="297"/>
        <v>2.4649223478644204</v>
      </c>
      <c r="BE313" s="43">
        <f t="shared" si="298"/>
        <v>172.55659429207111</v>
      </c>
      <c r="BF313" s="41" t="str">
        <f t="shared" si="299"/>
        <v>-0,745462266856233+0,651627212586439i</v>
      </c>
      <c r="BG313" s="20">
        <f t="shared" si="300"/>
        <v>-8.6268140269185001E-2</v>
      </c>
      <c r="BH313" s="43">
        <f t="shared" si="301"/>
        <v>138.84248114509862</v>
      </c>
      <c r="BI313" s="41" t="str">
        <f t="shared" si="306"/>
        <v>-2,63257680840786+1,57341250543989i</v>
      </c>
      <c r="BJ313" s="20">
        <f t="shared" si="302"/>
        <v>9.7340901742268677</v>
      </c>
      <c r="BK313" s="43">
        <f t="shared" si="307"/>
        <v>149.13450032957445</v>
      </c>
      <c r="BL313">
        <f t="shared" si="303"/>
        <v>-8.6268140269185001E-2</v>
      </c>
      <c r="BM313" s="43">
        <f t="shared" si="304"/>
        <v>138.84248114509862</v>
      </c>
    </row>
    <row r="314" spans="14:65" x14ac:dyDescent="0.25">
      <c r="N314" s="9">
        <v>96</v>
      </c>
      <c r="O314" s="34">
        <f t="shared" si="305"/>
        <v>9120.1083935591087</v>
      </c>
      <c r="P314" s="33" t="str">
        <f t="shared" si="257"/>
        <v>54,631621870174</v>
      </c>
      <c r="Q314" s="4" t="str">
        <f t="shared" si="258"/>
        <v>1+228,389596928024i</v>
      </c>
      <c r="R314" s="4">
        <f t="shared" si="270"/>
        <v>228.39178615910265</v>
      </c>
      <c r="S314" s="4">
        <f t="shared" si="271"/>
        <v>1.5664178716325228</v>
      </c>
      <c r="T314" s="4" t="str">
        <f t="shared" si="259"/>
        <v>1+2,86516655291479i</v>
      </c>
      <c r="U314" s="4">
        <f t="shared" si="272"/>
        <v>3.0346629756764787</v>
      </c>
      <c r="V314" s="4">
        <f t="shared" si="273"/>
        <v>1.2349949591438081</v>
      </c>
      <c r="W314" t="str">
        <f t="shared" si="260"/>
        <v>1-0,228029371112144i</v>
      </c>
      <c r="X314" s="4">
        <f t="shared" si="274"/>
        <v>1.0256692420511595</v>
      </c>
      <c r="Y314" s="4">
        <f t="shared" si="275"/>
        <v>-0.22419596397353567</v>
      </c>
      <c r="Z314" t="str">
        <f t="shared" si="261"/>
        <v>0,999667294491559+0,0313293912795355i</v>
      </c>
      <c r="AA314" s="4">
        <f t="shared" si="276"/>
        <v>1.0001581027187749</v>
      </c>
      <c r="AB314" s="4">
        <f t="shared" si="277"/>
        <v>3.1329563760582116E-2</v>
      </c>
      <c r="AC314" s="47" t="str">
        <f t="shared" si="278"/>
        <v>0,619822296692915-0,412271735683842i</v>
      </c>
      <c r="AD314" s="20">
        <f t="shared" si="279"/>
        <v>-2.5637449356126636</v>
      </c>
      <c r="AE314" s="43">
        <f t="shared" si="280"/>
        <v>-33.629668416555063</v>
      </c>
      <c r="AF314" t="str">
        <f t="shared" si="262"/>
        <v>171,265703090588</v>
      </c>
      <c r="AG314" t="str">
        <f t="shared" si="263"/>
        <v>1+226,203904503125i</v>
      </c>
      <c r="AH314">
        <f t="shared" si="281"/>
        <v>226.20611488741611</v>
      </c>
      <c r="AI314">
        <f t="shared" si="282"/>
        <v>1.5663755654123246</v>
      </c>
      <c r="AJ314" t="str">
        <f t="shared" si="264"/>
        <v>1+2,86516655291479i</v>
      </c>
      <c r="AK314">
        <f t="shared" si="283"/>
        <v>3.0346629756764787</v>
      </c>
      <c r="AL314">
        <f t="shared" si="284"/>
        <v>1.2349949591438081</v>
      </c>
      <c r="AM314" t="str">
        <f t="shared" si="265"/>
        <v>1-0,0720423556694905i</v>
      </c>
      <c r="AN314">
        <f t="shared" si="285"/>
        <v>1.0025916920713085</v>
      </c>
      <c r="AO314">
        <f t="shared" si="286"/>
        <v>-7.1918106658560757E-2</v>
      </c>
      <c r="AP314" s="41" t="str">
        <f t="shared" si="287"/>
        <v>2,11875398600751-0,904044855909361i</v>
      </c>
      <c r="AQ314">
        <f t="shared" si="288"/>
        <v>7.2480125734148091</v>
      </c>
      <c r="AR314" s="43">
        <f t="shared" si="289"/>
        <v>-23.107314133779731</v>
      </c>
      <c r="AS314" t="str">
        <f t="shared" si="266"/>
        <v>-0,0000166666666666667</v>
      </c>
      <c r="AT314" t="str">
        <f t="shared" si="267"/>
        <v>0,000189903239127192i</v>
      </c>
      <c r="AU314">
        <f t="shared" si="290"/>
        <v>1.8990323912719201E-4</v>
      </c>
      <c r="AV314">
        <f t="shared" si="291"/>
        <v>1.5707963267948966</v>
      </c>
      <c r="AW314" t="str">
        <f t="shared" si="268"/>
        <v>1+0,0639086033770251i</v>
      </c>
      <c r="AX314">
        <f t="shared" si="292"/>
        <v>1.0020400738421602</v>
      </c>
      <c r="AY314">
        <f t="shared" si="293"/>
        <v>6.382180846918821E-2</v>
      </c>
      <c r="AZ314" t="str">
        <f t="shared" si="269"/>
        <v>1+15,1280793993901i</v>
      </c>
      <c r="BA314">
        <f t="shared" si="294"/>
        <v>15.161094495921166</v>
      </c>
      <c r="BB314">
        <f t="shared" si="295"/>
        <v>1.5047901089502587</v>
      </c>
      <c r="BC314" s="41" t="str">
        <f t="shared" si="296"/>
        <v>-1,31671392229713+0,171913341438412i</v>
      </c>
      <c r="BD314">
        <f t="shared" si="297"/>
        <v>2.4632368300010219</v>
      </c>
      <c r="BE314" s="43">
        <f t="shared" si="298"/>
        <v>172.56140202970431</v>
      </c>
      <c r="BF314" s="41" t="str">
        <f t="shared" si="299"/>
        <v>-0,74525363574372+0,649399656267027i</v>
      </c>
      <c r="BG314" s="20">
        <f t="shared" si="300"/>
        <v>-0.10050810561164476</v>
      </c>
      <c r="BH314" s="43">
        <f t="shared" si="301"/>
        <v>138.93173361314925</v>
      </c>
      <c r="BI314" s="41" t="str">
        <f t="shared" si="306"/>
        <v>-2,63437549930904+1,55461052557746i</v>
      </c>
      <c r="BJ314" s="20">
        <f t="shared" si="302"/>
        <v>9.7112494034158203</v>
      </c>
      <c r="BK314" s="43">
        <f t="shared" si="307"/>
        <v>149.45408789592463</v>
      </c>
      <c r="BL314">
        <f t="shared" si="303"/>
        <v>-0.10050810561164476</v>
      </c>
      <c r="BM314" s="43">
        <f t="shared" si="304"/>
        <v>138.93173361314925</v>
      </c>
    </row>
    <row r="315" spans="14:65" x14ac:dyDescent="0.25">
      <c r="N315" s="9">
        <v>97</v>
      </c>
      <c r="O315" s="34">
        <f t="shared" si="305"/>
        <v>9332.5430079699217</v>
      </c>
      <c r="P315" s="33" t="str">
        <f t="shared" si="257"/>
        <v>54,631621870174</v>
      </c>
      <c r="Q315" s="4" t="str">
        <f t="shared" si="258"/>
        <v>1+233,709474046273i</v>
      </c>
      <c r="R315" s="4">
        <f t="shared" si="270"/>
        <v>233.71161344482977</v>
      </c>
      <c r="S315" s="4">
        <f t="shared" si="271"/>
        <v>1.5665175362093187</v>
      </c>
      <c r="T315" s="4" t="str">
        <f t="shared" si="259"/>
        <v>1+2,93190485531491i</v>
      </c>
      <c r="U315" s="4">
        <f t="shared" si="272"/>
        <v>3.0977517784062591</v>
      </c>
      <c r="V315" s="4">
        <f t="shared" si="273"/>
        <v>1.242094360391603</v>
      </c>
      <c r="W315" t="str">
        <f t="shared" si="260"/>
        <v>1-0,233340857493244i</v>
      </c>
      <c r="X315" s="4">
        <f t="shared" si="274"/>
        <v>1.0268631631213978</v>
      </c>
      <c r="Y315" s="4">
        <f t="shared" si="275"/>
        <v>-0.22923906892783269</v>
      </c>
      <c r="Z315" t="str">
        <f t="shared" si="261"/>
        <v>0,999651614564018+0,0320591465487705i</v>
      </c>
      <c r="AA315" s="4">
        <f t="shared" si="276"/>
        <v>1.0001655559845499</v>
      </c>
      <c r="AB315" s="4">
        <f t="shared" si="277"/>
        <v>3.2059331328873182E-2</v>
      </c>
      <c r="AC315" s="47" t="str">
        <f t="shared" si="278"/>
        <v>0,619525902421191-0,410979139337047i</v>
      </c>
      <c r="AD315" s="20">
        <f t="shared" si="279"/>
        <v>-2.5749780870901429</v>
      </c>
      <c r="AE315" s="43">
        <f t="shared" si="280"/>
        <v>-33.559374278815213</v>
      </c>
      <c r="AF315" t="str">
        <f t="shared" si="262"/>
        <v>171,265703090588</v>
      </c>
      <c r="AG315" t="str">
        <f t="shared" si="263"/>
        <v>1+231,472870304593i</v>
      </c>
      <c r="AH315">
        <f t="shared" si="281"/>
        <v>231.47503037486987</v>
      </c>
      <c r="AI315">
        <f t="shared" si="282"/>
        <v>1.5664761929602449</v>
      </c>
      <c r="AJ315" t="str">
        <f t="shared" si="264"/>
        <v>1+2,93190485531491i</v>
      </c>
      <c r="AK315">
        <f t="shared" si="283"/>
        <v>3.0977517784062591</v>
      </c>
      <c r="AL315">
        <f t="shared" si="284"/>
        <v>1.242094360391603</v>
      </c>
      <c r="AM315" t="str">
        <f t="shared" si="265"/>
        <v>1-0,0737204377039873i</v>
      </c>
      <c r="AN315">
        <f t="shared" si="285"/>
        <v>1.0027136694666465</v>
      </c>
      <c r="AO315">
        <f t="shared" si="286"/>
        <v>-7.3587321942177375E-2</v>
      </c>
      <c r="AP315" s="41" t="str">
        <f t="shared" si="287"/>
        <v>2,11860520759191-0,890664598860587i</v>
      </c>
      <c r="AQ315">
        <f t="shared" si="288"/>
        <v>7.2277960498932501</v>
      </c>
      <c r="AR315" s="43">
        <f t="shared" si="289"/>
        <v>-22.801952929859659</v>
      </c>
      <c r="AS315" t="str">
        <f t="shared" si="266"/>
        <v>-0,0000166666666666667</v>
      </c>
      <c r="AT315" t="str">
        <f t="shared" si="267"/>
        <v>0,000194326653810272i</v>
      </c>
      <c r="AU315">
        <f t="shared" si="290"/>
        <v>1.9432665381027199E-4</v>
      </c>
      <c r="AV315">
        <f t="shared" si="291"/>
        <v>1.5707963267948966</v>
      </c>
      <c r="AW315" t="str">
        <f t="shared" si="268"/>
        <v>1+0,0653972259821599i</v>
      </c>
      <c r="AX315">
        <f t="shared" si="292"/>
        <v>1.0021361170849805</v>
      </c>
      <c r="AY315">
        <f t="shared" si="293"/>
        <v>6.530423426621948E-2</v>
      </c>
      <c r="AZ315" t="str">
        <f t="shared" si="269"/>
        <v>1+15,4804576360627i</v>
      </c>
      <c r="BA315">
        <f t="shared" si="294"/>
        <v>15.512722798462299</v>
      </c>
      <c r="BB315">
        <f t="shared" si="295"/>
        <v>1.5062883809172087</v>
      </c>
      <c r="BC315" s="41" t="str">
        <f t="shared" si="296"/>
        <v>-1,31646155056265+0,17185917474154i</v>
      </c>
      <c r="BD315">
        <f t="shared" si="297"/>
        <v>2.4615538953406126</v>
      </c>
      <c r="BE315" s="43">
        <f t="shared" si="298"/>
        <v>172.56230994836218</v>
      </c>
      <c r="BF315" s="41" t="str">
        <f t="shared" si="299"/>
        <v>-0,744951494392673+0,647509445341666i</v>
      </c>
      <c r="BG315" s="20">
        <f t="shared" si="300"/>
        <v>-0.11342419174952667</v>
      </c>
      <c r="BH315" s="43">
        <f t="shared" si="301"/>
        <v>139.00293566954696</v>
      </c>
      <c r="BI315" s="41" t="str">
        <f t="shared" si="306"/>
        <v>-2,63599341368487+1,53662744142714i</v>
      </c>
      <c r="BJ315" s="20">
        <f t="shared" si="302"/>
        <v>9.6893499452338698</v>
      </c>
      <c r="BK315" s="43">
        <f t="shared" si="307"/>
        <v>149.76035701850262</v>
      </c>
      <c r="BL315">
        <f t="shared" si="303"/>
        <v>-0.11342419174952667</v>
      </c>
      <c r="BM315" s="43">
        <f t="shared" si="304"/>
        <v>139.00293566954696</v>
      </c>
    </row>
    <row r="316" spans="14:65" x14ac:dyDescent="0.25">
      <c r="N316" s="9">
        <v>98</v>
      </c>
      <c r="O316" s="34">
        <f t="shared" si="305"/>
        <v>9549.9258602143691</v>
      </c>
      <c r="P316" s="33" t="str">
        <f t="shared" si="257"/>
        <v>54,631621870174</v>
      </c>
      <c r="Q316" s="4" t="str">
        <f t="shared" si="258"/>
        <v>1+239,153267021172i</v>
      </c>
      <c r="R316" s="4">
        <f t="shared" si="270"/>
        <v>239.15535772150284</v>
      </c>
      <c r="S316" s="4">
        <f t="shared" si="271"/>
        <v>1.5666149322255116</v>
      </c>
      <c r="T316" s="4" t="str">
        <f t="shared" si="259"/>
        <v>1+3,00019769247766i</v>
      </c>
      <c r="U316" s="4">
        <f t="shared" si="272"/>
        <v>3.1624652083379945</v>
      </c>
      <c r="V316" s="4">
        <f t="shared" si="273"/>
        <v>1.249065540473618</v>
      </c>
      <c r="W316" t="str">
        <f t="shared" si="260"/>
        <v>1-0,238776064285619i</v>
      </c>
      <c r="X316" s="4">
        <f t="shared" si="274"/>
        <v>1.0281118659346997</v>
      </c>
      <c r="Y316" s="4">
        <f t="shared" si="275"/>
        <v>-0.23438738313606475</v>
      </c>
      <c r="Z316" t="str">
        <f t="shared" si="261"/>
        <v>0,999635195664258+0,0328059000018586i</v>
      </c>
      <c r="AA316" s="4">
        <f t="shared" si="276"/>
        <v>1.0001733607158567</v>
      </c>
      <c r="AB316" s="4">
        <f t="shared" si="277"/>
        <v>3.2806097956163911E-2</v>
      </c>
      <c r="AC316" s="47" t="str">
        <f t="shared" si="278"/>
        <v>0,61921984047083-0,409903942438758i</v>
      </c>
      <c r="AD316" s="20">
        <f t="shared" si="279"/>
        <v>-2.5849035210617437</v>
      </c>
      <c r="AE316" s="43">
        <f t="shared" si="280"/>
        <v>-33.503298714323122</v>
      </c>
      <c r="AF316" t="str">
        <f t="shared" si="262"/>
        <v>171,265703090588</v>
      </c>
      <c r="AG316" t="str">
        <f t="shared" si="263"/>
        <v>1+236,864566085801i</v>
      </c>
      <c r="AH316">
        <f t="shared" si="281"/>
        <v>236.8666769873187</v>
      </c>
      <c r="AI316">
        <f t="shared" si="282"/>
        <v>1.5665745300300677</v>
      </c>
      <c r="AJ316" t="str">
        <f t="shared" si="264"/>
        <v>1+3,00019769247766i</v>
      </c>
      <c r="AK316">
        <f t="shared" si="283"/>
        <v>3.1624652083379945</v>
      </c>
      <c r="AL316">
        <f t="shared" si="284"/>
        <v>1.249065540473618</v>
      </c>
      <c r="AM316" t="str">
        <f t="shared" si="265"/>
        <v>1-0,0754376072903601i</v>
      </c>
      <c r="AN316">
        <f t="shared" si="285"/>
        <v>1.0028413795778945</v>
      </c>
      <c r="AO316">
        <f t="shared" si="286"/>
        <v>-7.5294992999550725E-2</v>
      </c>
      <c r="AP316" s="41" t="str">
        <f t="shared" si="287"/>
        <v>2,11846312506373-0,877756526100438i</v>
      </c>
      <c r="AQ316">
        <f t="shared" si="288"/>
        <v>7.2084887287669446</v>
      </c>
      <c r="AR316" s="43">
        <f t="shared" si="289"/>
        <v>-22.506010376389277</v>
      </c>
      <c r="AS316" t="str">
        <f t="shared" si="266"/>
        <v>-0,0000166666666666667</v>
      </c>
      <c r="AT316" t="str">
        <f t="shared" si="267"/>
        <v>0,00019885310305742i</v>
      </c>
      <c r="AU316">
        <f t="shared" si="290"/>
        <v>1.9885310305741999E-4</v>
      </c>
      <c r="AV316">
        <f t="shared" si="291"/>
        <v>1.5707963267948966</v>
      </c>
      <c r="AW316" t="str">
        <f t="shared" si="268"/>
        <v>1+0,0669205230621451i</v>
      </c>
      <c r="AX316">
        <f t="shared" si="292"/>
        <v>1.0022366768418083</v>
      </c>
      <c r="AY316">
        <f t="shared" si="293"/>
        <v>6.6820892649336924E-2</v>
      </c>
      <c r="AZ316" t="str">
        <f t="shared" si="269"/>
        <v>1+15,8410438162821i</v>
      </c>
      <c r="BA316">
        <f t="shared" si="294"/>
        <v>15.872576009878465</v>
      </c>
      <c r="BB316">
        <f t="shared" si="295"/>
        <v>1.5077528283455457</v>
      </c>
      <c r="BC316" s="41" t="str">
        <f t="shared" si="296"/>
        <v>-1,31619738858354+0,17189458092121i</v>
      </c>
      <c r="BD316">
        <f t="shared" si="297"/>
        <v>2.459870019128342</v>
      </c>
      <c r="BE316" s="43">
        <f t="shared" si="298"/>
        <v>172.55931848100892</v>
      </c>
      <c r="BF316" s="41" t="str">
        <f t="shared" si="299"/>
        <v>-0,744555270583361+0,645955033583823i</v>
      </c>
      <c r="BG316" s="20">
        <f t="shared" si="300"/>
        <v>-0.12503350193340065</v>
      </c>
      <c r="BH316" s="43">
        <f t="shared" si="301"/>
        <v>139.05601976668581</v>
      </c>
      <c r="BI316" s="41" t="str">
        <f t="shared" si="306"/>
        <v>-2,63743404281451+1,51945317854542i</v>
      </c>
      <c r="BJ316" s="20">
        <f t="shared" si="302"/>
        <v>9.6683587478952688</v>
      </c>
      <c r="BK316" s="43">
        <f t="shared" si="307"/>
        <v>150.05330810461962</v>
      </c>
      <c r="BL316">
        <f t="shared" si="303"/>
        <v>-0.12503350193340065</v>
      </c>
      <c r="BM316" s="43">
        <f t="shared" si="304"/>
        <v>139.05601976668581</v>
      </c>
    </row>
    <row r="317" spans="14:65" x14ac:dyDescent="0.25">
      <c r="N317" s="9">
        <v>99</v>
      </c>
      <c r="O317" s="34">
        <f t="shared" si="305"/>
        <v>9772.3722095581161</v>
      </c>
      <c r="P317" s="33" t="str">
        <f t="shared" si="257"/>
        <v>54,631621870174</v>
      </c>
      <c r="Q317" s="4" t="str">
        <f t="shared" si="258"/>
        <v>1+244,723862223814i</v>
      </c>
      <c r="R317" s="4">
        <f t="shared" si="270"/>
        <v>244.72590533439711</v>
      </c>
      <c r="S317" s="4">
        <f t="shared" si="271"/>
        <v>1.5667101113143633</v>
      </c>
      <c r="T317" s="4" t="str">
        <f t="shared" si="259"/>
        <v>1+3,07008127416929i</v>
      </c>
      <c r="U317" s="4">
        <f t="shared" si="272"/>
        <v>3.2288386503516913</v>
      </c>
      <c r="V317" s="4">
        <f t="shared" si="273"/>
        <v>1.2559094844566332</v>
      </c>
      <c r="W317" t="str">
        <f t="shared" si="260"/>
        <v>1-0,244337873307853i</v>
      </c>
      <c r="X317" s="4">
        <f t="shared" si="274"/>
        <v>1.0294177948396872</v>
      </c>
      <c r="Y317" s="4">
        <f t="shared" si="275"/>
        <v>-0.23964254416592204</v>
      </c>
      <c r="Z317" t="str">
        <f t="shared" si="261"/>
        <v>0,999618002965591+0,0335700475773651i</v>
      </c>
      <c r="AA317" s="4">
        <f t="shared" si="276"/>
        <v>1.0001815334964261</v>
      </c>
      <c r="AB317" s="4">
        <f t="shared" si="277"/>
        <v>3.3570259643063809E-2</v>
      </c>
      <c r="AC317" s="47" t="str">
        <f t="shared" si="278"/>
        <v>0,618903462736638-0,409045541128315i</v>
      </c>
      <c r="AD317" s="20">
        <f t="shared" si="279"/>
        <v>-2.5935333458231775</v>
      </c>
      <c r="AE317" s="43">
        <f t="shared" si="280"/>
        <v>-33.461504756158831</v>
      </c>
      <c r="AF317" t="str">
        <f t="shared" si="262"/>
        <v>171,265703090588</v>
      </c>
      <c r="AG317" t="str">
        <f t="shared" si="263"/>
        <v>1+242,381850595222i</v>
      </c>
      <c r="AH317">
        <f t="shared" si="281"/>
        <v>242.38391344716862</v>
      </c>
      <c r="AI317">
        <f t="shared" si="282"/>
        <v>1.566670628753797</v>
      </c>
      <c r="AJ317" t="str">
        <f t="shared" si="264"/>
        <v>1+3,07008127416929i</v>
      </c>
      <c r="AK317">
        <f t="shared" si="283"/>
        <v>3.2288386503516913</v>
      </c>
      <c r="AL317">
        <f t="shared" si="284"/>
        <v>1.2559094844566332</v>
      </c>
      <c r="AM317" t="str">
        <f t="shared" si="265"/>
        <v>1-0,077194774894653i</v>
      </c>
      <c r="AN317">
        <f t="shared" si="285"/>
        <v>1.0029750910521338</v>
      </c>
      <c r="AO317">
        <f t="shared" si="286"/>
        <v>-7.7041985399704166E-2</v>
      </c>
      <c r="AP317" s="41" t="str">
        <f t="shared" si="287"/>
        <v>2,1183274370799-0,865313797460372i</v>
      </c>
      <c r="AQ317">
        <f t="shared" si="288"/>
        <v>7.1900619859221395</v>
      </c>
      <c r="AR317" s="43">
        <f t="shared" si="289"/>
        <v>-22.219482613594987</v>
      </c>
      <c r="AS317" t="str">
        <f t="shared" si="266"/>
        <v>-0,0000166666666666667</v>
      </c>
      <c r="AT317" t="str">
        <f t="shared" si="267"/>
        <v>0,00020348498685194i</v>
      </c>
      <c r="AU317">
        <f t="shared" si="290"/>
        <v>2.0348498685193999E-4</v>
      </c>
      <c r="AV317">
        <f t="shared" si="291"/>
        <v>1.5707963267948966</v>
      </c>
      <c r="AW317" t="str">
        <f t="shared" si="268"/>
        <v>1+0,0684793022892557i</v>
      </c>
      <c r="AX317">
        <f t="shared" si="292"/>
        <v>1.002341965020932</v>
      </c>
      <c r="AY317">
        <f t="shared" si="293"/>
        <v>6.837255984559798E-2</v>
      </c>
      <c r="AZ317" t="str">
        <f t="shared" si="269"/>
        <v>1+16,2100291276138i</v>
      </c>
      <c r="BA317">
        <f t="shared" si="294"/>
        <v>16.24084493855193</v>
      </c>
      <c r="BB317">
        <f t="shared" si="295"/>
        <v>1.50918420256521</v>
      </c>
      <c r="BC317" s="41" t="str">
        <f t="shared" si="296"/>
        <v>-1,31592089063598+0,172019468957089i</v>
      </c>
      <c r="BD317">
        <f t="shared" si="297"/>
        <v>2.4581816747124132</v>
      </c>
      <c r="BE317" s="43">
        <f t="shared" si="298"/>
        <v>172.55242620114478</v>
      </c>
      <c r="BF317" s="41" t="str">
        <f t="shared" si="299"/>
        <v>-0,744064199137931+0,644735017787909i</v>
      </c>
      <c r="BG317" s="20">
        <f t="shared" si="300"/>
        <v>-0.13535167111076327</v>
      </c>
      <c r="BH317" s="43">
        <f t="shared" si="301"/>
        <v>139.09092144498595</v>
      </c>
      <c r="BI317" s="41" t="str">
        <f t="shared" si="306"/>
        <v>-2,63870050774044+1,50307806383737i</v>
      </c>
      <c r="BJ317" s="20">
        <f t="shared" si="302"/>
        <v>9.6482436606345505</v>
      </c>
      <c r="BK317" s="43">
        <f t="shared" si="307"/>
        <v>150.33294358754981</v>
      </c>
      <c r="BL317">
        <f t="shared" si="303"/>
        <v>-0.13535167111076327</v>
      </c>
      <c r="BM317" s="43">
        <f t="shared" si="304"/>
        <v>139.09092144498595</v>
      </c>
    </row>
    <row r="318" spans="14:65" x14ac:dyDescent="0.25">
      <c r="N318" s="9">
        <v>100</v>
      </c>
      <c r="O318" s="34">
        <f t="shared" si="305"/>
        <v>10000</v>
      </c>
      <c r="P318" s="33" t="str">
        <f t="shared" si="257"/>
        <v>54,631621870174</v>
      </c>
      <c r="Q318" s="4" t="str">
        <f t="shared" si="258"/>
        <v>1+250,424213257509i</v>
      </c>
      <c r="R318" s="4">
        <f t="shared" si="270"/>
        <v>250.42620986159247</v>
      </c>
      <c r="S318" s="4">
        <f t="shared" si="271"/>
        <v>1.5668031239341851</v>
      </c>
      <c r="T318" s="4" t="str">
        <f t="shared" si="259"/>
        <v>1+3,14159265358979i</v>
      </c>
      <c r="U318" s="4">
        <f t="shared" si="272"/>
        <v>3.296908309475612</v>
      </c>
      <c r="V318" s="4">
        <f t="shared" si="273"/>
        <v>1.2626272556789113</v>
      </c>
      <c r="W318" t="str">
        <f t="shared" si="260"/>
        <v>1-0,250029233504708i</v>
      </c>
      <c r="X318" s="4">
        <f t="shared" si="274"/>
        <v>1.0307834969609049</v>
      </c>
      <c r="Y318" s="4">
        <f t="shared" si="275"/>
        <v>-0.24500617682438905</v>
      </c>
      <c r="Z318" t="str">
        <f t="shared" si="261"/>
        <v>0,9996+0,0343519944364491i</v>
      </c>
      <c r="AA318" s="4">
        <f t="shared" si="276"/>
        <v>1.000190091693455</v>
      </c>
      <c r="AB318" s="4">
        <f t="shared" si="277"/>
        <v>3.4352221617146898E-2</v>
      </c>
      <c r="AC318" s="47" t="str">
        <f t="shared" si="278"/>
        <v>0,618576099335863-0,408403443912858i</v>
      </c>
      <c r="AD318" s="20">
        <f t="shared" si="279"/>
        <v>-2.6008781770890361</v>
      </c>
      <c r="AE318" s="43">
        <f t="shared" si="280"/>
        <v>-33.434050682988605</v>
      </c>
      <c r="AF318" t="str">
        <f t="shared" si="262"/>
        <v>171,265703090588</v>
      </c>
      <c r="AG318" t="str">
        <f t="shared" si="263"/>
        <v>1+248,027649170131i</v>
      </c>
      <c r="AH318">
        <f t="shared" si="281"/>
        <v>248.02966506622064</v>
      </c>
      <c r="AI318">
        <f t="shared" si="282"/>
        <v>1.5667645400771446</v>
      </c>
      <c r="AJ318" t="str">
        <f t="shared" si="264"/>
        <v>1+3,14159265358979i</v>
      </c>
      <c r="AK318">
        <f t="shared" si="283"/>
        <v>3.296908309475612</v>
      </c>
      <c r="AL318">
        <f t="shared" si="284"/>
        <v>1.2626272556789113</v>
      </c>
      <c r="AM318" t="str">
        <f t="shared" si="265"/>
        <v>1-0,0789928721903887i</v>
      </c>
      <c r="AN318">
        <f t="shared" si="285"/>
        <v>1.003115085051006</v>
      </c>
      <c r="AO318">
        <f t="shared" si="286"/>
        <v>-7.882918274295786E-2</v>
      </c>
      <c r="AP318" s="41" t="str">
        <f t="shared" si="287"/>
        <v>2,1181978558581-0,853329819245688i</v>
      </c>
      <c r="AQ318">
        <f t="shared" si="288"/>
        <v>7.1724881113481693</v>
      </c>
      <c r="AR318" s="43">
        <f t="shared" si="289"/>
        <v>-21.942362262225682</v>
      </c>
      <c r="AS318" t="str">
        <f t="shared" si="266"/>
        <v>-0,0000166666666666667</v>
      </c>
      <c r="AT318" t="str">
        <f t="shared" si="267"/>
        <v>0,000208224761079932i</v>
      </c>
      <c r="AU318">
        <f t="shared" si="290"/>
        <v>2.08224761079932E-4</v>
      </c>
      <c r="AV318">
        <f t="shared" si="291"/>
        <v>1.5707963267948966</v>
      </c>
      <c r="AW318" t="str">
        <f t="shared" si="268"/>
        <v>1+0,0700743901488707i</v>
      </c>
      <c r="AX318">
        <f t="shared" si="292"/>
        <v>1.0024522034265455</v>
      </c>
      <c r="AY318">
        <f t="shared" si="293"/>
        <v>6.9960028665444651E-2</v>
      </c>
      <c r="AZ318" t="str">
        <f t="shared" si="269"/>
        <v>1+16,5876092109541i</v>
      </c>
      <c r="BA318">
        <f t="shared" si="294"/>
        <v>16.617724854363466</v>
      </c>
      <c r="BB318">
        <f t="shared" si="295"/>
        <v>1.5105832390353575</v>
      </c>
      <c r="BC318" s="41" t="str">
        <f t="shared" si="296"/>
        <v>-1,31563148622529+0,172233787542045i</v>
      </c>
      <c r="BD318">
        <f t="shared" si="297"/>
        <v>2.4564853264414239</v>
      </c>
      <c r="BE318" s="43">
        <f t="shared" si="298"/>
        <v>172.54162982278334</v>
      </c>
      <c r="BF318" s="41" t="str">
        <f t="shared" si="299"/>
        <v>-0,743477320922357+0,6438481343662i</v>
      </c>
      <c r="BG318" s="20">
        <f t="shared" si="300"/>
        <v>-0.14439285064761465</v>
      </c>
      <c r="BH318" s="43">
        <f t="shared" si="301"/>
        <v>139.10757913979472</v>
      </c>
      <c r="BI318" s="41" t="str">
        <f t="shared" si="306"/>
        <v>-2,63979556643056+1,48749281781244i</v>
      </c>
      <c r="BJ318" s="20">
        <f t="shared" si="302"/>
        <v>9.6289734377895879</v>
      </c>
      <c r="BK318" s="43">
        <f t="shared" si="307"/>
        <v>150.59926756055768</v>
      </c>
      <c r="BL318">
        <f t="shared" si="303"/>
        <v>-0.14439285064761465</v>
      </c>
      <c r="BM318" s="43">
        <f t="shared" si="304"/>
        <v>139.10757913979472</v>
      </c>
    </row>
    <row r="319" spans="14:65" x14ac:dyDescent="0.25">
      <c r="N319" s="9">
        <v>1</v>
      </c>
      <c r="O319" s="34">
        <f>10^(4+(N319/100))</f>
        <v>10232.929922807549</v>
      </c>
      <c r="P319" s="33" t="str">
        <f t="shared" si="257"/>
        <v>54,631621870174</v>
      </c>
      <c r="Q319" s="4" t="str">
        <f t="shared" si="258"/>
        <v>1+256,25734252383i</v>
      </c>
      <c r="R319" s="4">
        <f t="shared" si="270"/>
        <v>256.25929368000595</v>
      </c>
      <c r="S319" s="4">
        <f t="shared" si="271"/>
        <v>1.5668940193950576</v>
      </c>
      <c r="T319" s="4" t="str">
        <f t="shared" si="259"/>
        <v>1+3,21476974701913i</v>
      </c>
      <c r="U319" s="4">
        <f t="shared" si="272"/>
        <v>3.3667112329912467</v>
      </c>
      <c r="V319" s="4">
        <f t="shared" si="273"/>
        <v>1.2692199898451297</v>
      </c>
      <c r="W319" t="str">
        <f t="shared" si="260"/>
        <v>1-0,255853162510696i</v>
      </c>
      <c r="X319" s="4">
        <f t="shared" si="274"/>
        <v>1.0322116259598728</v>
      </c>
      <c r="Y319" s="4">
        <f t="shared" si="275"/>
        <v>-0.25047989001731569</v>
      </c>
      <c r="Z319" t="str">
        <f t="shared" si="261"/>
        <v>0,99958114858078+0,0351521551776858i</v>
      </c>
      <c r="AA319" s="4">
        <f t="shared" si="276"/>
        <v>1.0001990534947069</v>
      </c>
      <c r="AB319" s="4">
        <f t="shared" si="277"/>
        <v>3.5152398548078681E-2</v>
      </c>
      <c r="AC319" s="47" t="str">
        <f t="shared" si="278"/>
        <v>0,618237057197475-0,40797727123342i</v>
      </c>
      <c r="AD319" s="20">
        <f t="shared" si="279"/>
        <v>-2.6069471188044044</v>
      </c>
      <c r="AE319" s="43">
        <f t="shared" si="280"/>
        <v>-33.420990191323313</v>
      </c>
      <c r="AF319" t="str">
        <f t="shared" si="262"/>
        <v>171,265703090588</v>
      </c>
      <c r="AG319" t="str">
        <f t="shared" si="263"/>
        <v>1+253,804955287665i</v>
      </c>
      <c r="AH319">
        <f t="shared" si="281"/>
        <v>253.80692529671765</v>
      </c>
      <c r="AI319">
        <f t="shared" si="282"/>
        <v>1.566856313786507</v>
      </c>
      <c r="AJ319" t="str">
        <f t="shared" si="264"/>
        <v>1+3,21476974701913i</v>
      </c>
      <c r="AK319">
        <f t="shared" si="283"/>
        <v>3.3667112329912467</v>
      </c>
      <c r="AL319">
        <f t="shared" si="284"/>
        <v>1.2692199898451297</v>
      </c>
      <c r="AM319" t="str">
        <f t="shared" si="265"/>
        <v>1-0,080832852552554i</v>
      </c>
      <c r="AN319">
        <f t="shared" si="285"/>
        <v>1.0032616558265262</v>
      </c>
      <c r="AO319">
        <f t="shared" si="286"/>
        <v>-8.0657486931963923E-2</v>
      </c>
      <c r="AP319" s="41" t="str">
        <f t="shared" si="287"/>
        <v>2,11807410656665-0,841798240756637i</v>
      </c>
      <c r="AQ319">
        <f t="shared" si="288"/>
        <v>7.1557403178033194</v>
      </c>
      <c r="AR319" s="43">
        <f t="shared" si="289"/>
        <v>-21.674638778962564</v>
      </c>
      <c r="AS319" t="str">
        <f t="shared" si="266"/>
        <v>-0,0000166666666666667</v>
      </c>
      <c r="AT319" t="str">
        <f t="shared" si="267"/>
        <v>0,000213074938832428i</v>
      </c>
      <c r="AU319">
        <f t="shared" si="290"/>
        <v>2.13074938832428E-4</v>
      </c>
      <c r="AV319">
        <f t="shared" si="291"/>
        <v>1.5707963267948966</v>
      </c>
      <c r="AW319" t="str">
        <f t="shared" si="268"/>
        <v>1+0,0717066323776869i</v>
      </c>
      <c r="AX319">
        <f t="shared" si="292"/>
        <v>1.0025676242164161</v>
      </c>
      <c r="AY319">
        <f t="shared" si="293"/>
        <v>7.1584108783776648E-2</v>
      </c>
      <c r="AZ319" t="str">
        <f t="shared" si="269"/>
        <v>1+16,973984264261i</v>
      </c>
      <c r="BA319">
        <f t="shared" si="294"/>
        <v>17.003415592267924</v>
      </c>
      <c r="BB319">
        <f t="shared" si="295"/>
        <v>1.5119506576245652</v>
      </c>
      <c r="BC319" s="41" t="str">
        <f t="shared" si="296"/>
        <v>-1,31532857900846+0,172537524516624i</v>
      </c>
      <c r="BD319">
        <f t="shared" si="297"/>
        <v>2.4547774225455834</v>
      </c>
      <c r="BE319" s="43">
        <f t="shared" si="298"/>
        <v>172.52692420040108</v>
      </c>
      <c r="BF319" s="41" t="str">
        <f t="shared" si="299"/>
        <v>-0,742793481496265+0,643293255852498i</v>
      </c>
      <c r="BG319" s="20">
        <f t="shared" si="300"/>
        <v>-0.15216969625882368</v>
      </c>
      <c r="BH319" s="43">
        <f t="shared" si="301"/>
        <v>139.10593400907777</v>
      </c>
      <c r="BI319" s="41" t="str">
        <f t="shared" si="306"/>
        <v>-2,64072162022233+1,47268854691602i</v>
      </c>
      <c r="BJ319" s="20">
        <f t="shared" si="302"/>
        <v>9.6105177403489161</v>
      </c>
      <c r="BK319" s="43">
        <f t="shared" si="307"/>
        <v>150.85228542143855</v>
      </c>
      <c r="BL319">
        <f t="shared" si="303"/>
        <v>-0.15216969625882368</v>
      </c>
      <c r="BM319" s="43">
        <f t="shared" si="304"/>
        <v>139.10593400907777</v>
      </c>
    </row>
    <row r="320" spans="14:65" x14ac:dyDescent="0.25">
      <c r="N320" s="9">
        <v>2</v>
      </c>
      <c r="O320" s="34">
        <f t="shared" ref="O320:O383" si="308">10^(4+(N320/100))</f>
        <v>10471.285480509003</v>
      </c>
      <c r="P320" s="33" t="str">
        <f t="shared" si="257"/>
        <v>54,631621870174</v>
      </c>
      <c r="Q320" s="4" t="str">
        <f t="shared" si="258"/>
        <v>1+262,226342825125i</v>
      </c>
      <c r="R320" s="4">
        <f t="shared" si="270"/>
        <v>262.22824956789071</v>
      </c>
      <c r="S320" s="4">
        <f t="shared" si="271"/>
        <v>1.5669828458849462</v>
      </c>
      <c r="T320" s="4" t="str">
        <f t="shared" si="259"/>
        <v>1+3,28965135392085i</v>
      </c>
      <c r="U320" s="4">
        <f t="shared" si="272"/>
        <v>3.4382853328880785</v>
      </c>
      <c r="V320" s="4">
        <f t="shared" si="273"/>
        <v>1.2756888893113916</v>
      </c>
      <c r="W320" t="str">
        <f t="shared" si="260"/>
        <v>1-0,261812748250064i</v>
      </c>
      <c r="X320" s="4">
        <f t="shared" si="274"/>
        <v>1.0337049458845842</v>
      </c>
      <c r="Y320" s="4">
        <f t="shared" si="275"/>
        <v>-0.25606527341599472</v>
      </c>
      <c r="Z320" t="str">
        <f t="shared" si="261"/>
        <v>0,999561408721543+0,0359709540568916i</v>
      </c>
      <c r="AA320" s="4">
        <f t="shared" si="276"/>
        <v>1.0002084379473903</v>
      </c>
      <c r="AB320" s="4">
        <f t="shared" si="277"/>
        <v>3.5971214767766393E-2</v>
      </c>
      <c r="AC320" s="47" t="str">
        <f t="shared" si="278"/>
        <v>0,617885618603164-0,407766755077256i</v>
      </c>
      <c r="AD320" s="20">
        <f t="shared" si="279"/>
        <v>-2.6117477470508907</v>
      </c>
      <c r="AE320" s="43">
        <f t="shared" si="280"/>
        <v>-33.422372546083352</v>
      </c>
      <c r="AF320" t="str">
        <f t="shared" si="262"/>
        <v>171,265703090588</v>
      </c>
      <c r="AG320" t="str">
        <f t="shared" si="263"/>
        <v>1+259,716832151998i</v>
      </c>
      <c r="AH320">
        <f t="shared" si="281"/>
        <v>259.71875731850622</v>
      </c>
      <c r="AI320">
        <f t="shared" si="282"/>
        <v>1.5669459985353329</v>
      </c>
      <c r="AJ320" t="str">
        <f t="shared" si="264"/>
        <v>1+3,28965135392085i</v>
      </c>
      <c r="AK320">
        <f t="shared" si="283"/>
        <v>3.4382853328880785</v>
      </c>
      <c r="AL320">
        <f t="shared" si="284"/>
        <v>1.2756888893113916</v>
      </c>
      <c r="AM320" t="str">
        <f t="shared" si="265"/>
        <v>1-0,082715691563092i</v>
      </c>
      <c r="AN320">
        <f t="shared" si="285"/>
        <v>1.003415111322707</v>
      </c>
      <c r="AO320">
        <f t="shared" si="286"/>
        <v>-8.2527818438809533E-2</v>
      </c>
      <c r="AP320" s="41" t="str">
        <f t="shared" si="287"/>
        <v>2,11795592674176-0,830712950937267i</v>
      </c>
      <c r="AQ320">
        <f t="shared" si="288"/>
        <v>7.1397927471689826</v>
      </c>
      <c r="AR320" s="43">
        <f t="shared" si="289"/>
        <v>-21.41629880067838</v>
      </c>
      <c r="AS320" t="str">
        <f t="shared" si="266"/>
        <v>-0,0000166666666666667</v>
      </c>
      <c r="AT320" t="str">
        <f t="shared" si="267"/>
        <v>0,000218038091737874i</v>
      </c>
      <c r="AU320">
        <f t="shared" si="290"/>
        <v>2.1803809173787401E-4</v>
      </c>
      <c r="AV320">
        <f t="shared" si="291"/>
        <v>1.5707963267948966</v>
      </c>
      <c r="AW320" t="str">
        <f t="shared" si="268"/>
        <v>1+0,0733768944121393i</v>
      </c>
      <c r="AX320">
        <f t="shared" si="292"/>
        <v>1.0026884703802923</v>
      </c>
      <c r="AY320">
        <f t="shared" si="293"/>
        <v>7.3245627020273707E-2</v>
      </c>
      <c r="AZ320" t="str">
        <f t="shared" si="269"/>
        <v>1+17,3693591487021i</v>
      </c>
      <c r="BA320">
        <f t="shared" si="294"/>
        <v>17.398121658288328</v>
      </c>
      <c r="BB320">
        <f t="shared" si="295"/>
        <v>1.5132871628899476</v>
      </c>
      <c r="BC320" s="41" t="str">
        <f t="shared" si="296"/>
        <v>-1,31501154567446+0,17293070628752i</v>
      </c>
      <c r="BD320">
        <f t="shared" si="297"/>
        <v>2.4530543879913647</v>
      </c>
      <c r="BE320" s="43">
        <f t="shared" si="298"/>
        <v>172.50830232886926</v>
      </c>
      <c r="BF320" s="41" t="str">
        <f t="shared" si="299"/>
        <v>-0,742011329413287+0,643069387298748i</v>
      </c>
      <c r="BG320" s="20">
        <f t="shared" si="300"/>
        <v>-0.15869335905952339</v>
      </c>
      <c r="BH320" s="43">
        <f t="shared" si="301"/>
        <v>139.08592978278591</v>
      </c>
      <c r="BI320" s="41" t="str">
        <f t="shared" si="306"/>
        <v>-2,64148071956729+1,4586567359211i</v>
      </c>
      <c r="BJ320" s="20">
        <f t="shared" si="302"/>
        <v>9.5928471351603388</v>
      </c>
      <c r="BK320" s="43">
        <f t="shared" si="307"/>
        <v>151.09200352819082</v>
      </c>
      <c r="BL320">
        <f t="shared" si="303"/>
        <v>-0.15869335905952339</v>
      </c>
      <c r="BM320" s="43">
        <f t="shared" si="304"/>
        <v>139.08592978278591</v>
      </c>
    </row>
    <row r="321" spans="14:65" x14ac:dyDescent="0.25">
      <c r="N321" s="9">
        <v>3</v>
      </c>
      <c r="O321" s="34">
        <f t="shared" si="308"/>
        <v>10715.193052376071</v>
      </c>
      <c r="P321" s="33" t="str">
        <f t="shared" si="257"/>
        <v>54,631621870174</v>
      </c>
      <c r="Q321" s="4" t="str">
        <f t="shared" si="258"/>
        <v>1+268,33437900436i</v>
      </c>
      <c r="R321" s="4">
        <f t="shared" si="270"/>
        <v>268.3362423446664</v>
      </c>
      <c r="S321" s="4">
        <f t="shared" si="271"/>
        <v>1.5670696504952213</v>
      </c>
      <c r="T321" s="4" t="str">
        <f t="shared" si="259"/>
        <v>1+3,36627717751411i</v>
      </c>
      <c r="U321" s="4">
        <f t="shared" si="272"/>
        <v>3.511669408679063</v>
      </c>
      <c r="V321" s="4">
        <f t="shared" si="273"/>
        <v>1.2820352175683984</v>
      </c>
      <c r="W321" t="str">
        <f t="shared" si="260"/>
        <v>1-0,267911150574056i</v>
      </c>
      <c r="X321" s="4">
        <f t="shared" si="274"/>
        <v>1.0352663351050853</v>
      </c>
      <c r="Y321" s="4">
        <f t="shared" si="275"/>
        <v>-0.26176389392575433</v>
      </c>
      <c r="Z321" t="str">
        <f t="shared" si="261"/>
        <v>0,999540738551401+0,0368088252120701i</v>
      </c>
      <c r="AA321" s="4">
        <f t="shared" si="276"/>
        <v>1.0002182649988816</v>
      </c>
      <c r="AB321" s="4">
        <f t="shared" si="277"/>
        <v>3.6809104495652396E-2</v>
      </c>
      <c r="AC321" s="47" t="str">
        <f t="shared" si="278"/>
        <v>0,61752103967719-0,407771738635322i</v>
      </c>
      <c r="AD321" s="20">
        <f t="shared" si="279"/>
        <v>-2.6152860969586293</v>
      </c>
      <c r="AE321" s="43">
        <f t="shared" si="280"/>
        <v>-33.438242708724502</v>
      </c>
      <c r="AF321" t="str">
        <f t="shared" si="262"/>
        <v>171,265703090588</v>
      </c>
      <c r="AG321" t="str">
        <f t="shared" si="263"/>
        <v>1+265,766414318496i</v>
      </c>
      <c r="AH321">
        <f t="shared" si="281"/>
        <v>265.76829566317815</v>
      </c>
      <c r="AI321">
        <f t="shared" si="282"/>
        <v>1.5670336418698887</v>
      </c>
      <c r="AJ321" t="str">
        <f t="shared" si="264"/>
        <v>1+3,36627717751411i</v>
      </c>
      <c r="AK321">
        <f t="shared" si="283"/>
        <v>3.511669408679063</v>
      </c>
      <c r="AL321">
        <f t="shared" si="284"/>
        <v>1.2820352175683984</v>
      </c>
      <c r="AM321" t="str">
        <f t="shared" si="265"/>
        <v>1-0,0846423875281683i</v>
      </c>
      <c r="AN321">
        <f t="shared" si="285"/>
        <v>1.0035757738040854</v>
      </c>
      <c r="AO321">
        <f t="shared" si="286"/>
        <v>-8.4441116567411462E-2</v>
      </c>
      <c r="AP321" s="41" t="str">
        <f t="shared" si="287"/>
        <v>2,11784306573103-0,820068075150247i</v>
      </c>
      <c r="AQ321">
        <f t="shared" si="288"/>
        <v>7.1246204746972763</v>
      </c>
      <c r="AR321" s="43">
        <f t="shared" si="289"/>
        <v>-21.167326477038998</v>
      </c>
      <c r="AS321" t="str">
        <f t="shared" si="266"/>
        <v>-0,0000166666666666667</v>
      </c>
      <c r="AT321" t="str">
        <f t="shared" si="267"/>
        <v>0,000223116851325635i</v>
      </c>
      <c r="AU321">
        <f t="shared" si="290"/>
        <v>2.23116851325635E-4</v>
      </c>
      <c r="AV321">
        <f t="shared" si="291"/>
        <v>1.5707963267948966</v>
      </c>
      <c r="AW321" t="str">
        <f t="shared" si="268"/>
        <v>1+0,0750860618472669i</v>
      </c>
      <c r="AX321">
        <f t="shared" si="292"/>
        <v>1.0028149962399502</v>
      </c>
      <c r="AY321">
        <f t="shared" si="293"/>
        <v>7.4945427618455546E-2</v>
      </c>
      <c r="AZ321" t="str">
        <f t="shared" si="269"/>
        <v>1+17,7739434972745i</v>
      </c>
      <c r="BA321">
        <f t="shared" si="294"/>
        <v>17.802052337983575</v>
      </c>
      <c r="BB321">
        <f t="shared" si="295"/>
        <v>1.5145934443548648</v>
      </c>
      <c r="BC321" s="41" t="str">
        <f t="shared" si="296"/>
        <v>-1,31467973478098+0,173413397227362i</v>
      </c>
      <c r="BD321">
        <f t="shared" si="297"/>
        <v>2.451312617296745</v>
      </c>
      <c r="BE321" s="43">
        <f t="shared" si="298"/>
        <v>172.48575534337556</v>
      </c>
      <c r="BF321" s="41" t="str">
        <f t="shared" si="299"/>
        <v>-0,741129314174424+0,643175662550058i</v>
      </c>
      <c r="BG321" s="20">
        <f t="shared" si="300"/>
        <v>-0.16397347966188591</v>
      </c>
      <c r="BH321" s="43">
        <f t="shared" si="301"/>
        <v>139.04751263465107</v>
      </c>
      <c r="BI321" s="41" t="str">
        <f t="shared" si="306"/>
        <v>-2,6420745690935+1,4453892403637i</v>
      </c>
      <c r="BJ321" s="20">
        <f t="shared" si="302"/>
        <v>9.5759330919940151</v>
      </c>
      <c r="BK321" s="43">
        <f t="shared" si="307"/>
        <v>151.31842886633663</v>
      </c>
      <c r="BL321">
        <f t="shared" si="303"/>
        <v>-0.16397347966188591</v>
      </c>
      <c r="BM321" s="43">
        <f t="shared" si="304"/>
        <v>139.04751263465107</v>
      </c>
    </row>
    <row r="322" spans="14:65" x14ac:dyDescent="0.25">
      <c r="N322" s="9">
        <v>4</v>
      </c>
      <c r="O322" s="34">
        <f t="shared" si="308"/>
        <v>10964.781961431856</v>
      </c>
      <c r="P322" s="33" t="str">
        <f t="shared" si="257"/>
        <v>54,631621870174</v>
      </c>
      <c r="Q322" s="4" t="str">
        <f t="shared" si="258"/>
        <v>1+274,58468962317i</v>
      </c>
      <c r="R322" s="4">
        <f t="shared" si="270"/>
        <v>274.58651054895722</v>
      </c>
      <c r="S322" s="4">
        <f t="shared" si="271"/>
        <v>1.5671544792456009</v>
      </c>
      <c r="T322" s="4" t="str">
        <f t="shared" si="259"/>
        <v>1+3,44468784582482i</v>
      </c>
      <c r="U322" s="4">
        <f t="shared" si="272"/>
        <v>3.5869031705878593</v>
      </c>
      <c r="V322" s="4">
        <f t="shared" si="273"/>
        <v>1.2882602939289531</v>
      </c>
      <c r="W322" t="str">
        <f t="shared" si="260"/>
        <v>1-0,274151602936305i</v>
      </c>
      <c r="X322" s="4">
        <f t="shared" si="274"/>
        <v>1.0368987903322799</v>
      </c>
      <c r="Y322" s="4">
        <f t="shared" si="275"/>
        <v>-0.26757729195206431</v>
      </c>
      <c r="Z322" t="str">
        <f t="shared" si="261"/>
        <v>0,999519094226153+0,0376662128935985i</v>
      </c>
      <c r="AA322" s="4">
        <f t="shared" si="276"/>
        <v>1.0002285555393902</v>
      </c>
      <c r="AB322" s="4">
        <f t="shared" si="277"/>
        <v>3.7666512069271615E-2</v>
      </c>
      <c r="AC322" s="47" t="str">
        <f t="shared" si="278"/>
        <v>0,61714254882184-0,407992176003727i</v>
      </c>
      <c r="AD322" s="20">
        <f t="shared" si="279"/>
        <v>-2.6175666525524717</v>
      </c>
      <c r="AE322" s="43">
        <f t="shared" si="280"/>
        <v>-33.468641442324255</v>
      </c>
      <c r="AF322" t="str">
        <f t="shared" si="262"/>
        <v>171,265703090588</v>
      </c>
      <c r="AG322" t="str">
        <f t="shared" si="263"/>
        <v>1+271,9569093557i</v>
      </c>
      <c r="AH322">
        <f t="shared" si="281"/>
        <v>271.95874787604168</v>
      </c>
      <c r="AI322">
        <f t="shared" si="282"/>
        <v>1.567119290254442</v>
      </c>
      <c r="AJ322" t="str">
        <f t="shared" si="264"/>
        <v>1+3,44468784582482i</v>
      </c>
      <c r="AK322">
        <f t="shared" si="283"/>
        <v>3.5869031705878593</v>
      </c>
      <c r="AL322">
        <f t="shared" si="284"/>
        <v>1.2882602939289531</v>
      </c>
      <c r="AM322" t="str">
        <f t="shared" si="265"/>
        <v>1-0,0866139620074865i</v>
      </c>
      <c r="AN322">
        <f t="shared" si="285"/>
        <v>1.003743980512279</v>
      </c>
      <c r="AO322">
        <f t="shared" si="286"/>
        <v>-8.639833971036634E-2</v>
      </c>
      <c r="AP322" s="41" t="str">
        <f t="shared" si="287"/>
        <v>2,11773528416193-0,80985797207602i</v>
      </c>
      <c r="AQ322">
        <f t="shared" si="288"/>
        <v>7.110199511351281</v>
      </c>
      <c r="AR322" s="43">
        <f t="shared" si="289"/>
        <v>-20.927703791046213</v>
      </c>
      <c r="AS322" t="str">
        <f t="shared" si="266"/>
        <v>-0,0000166666666666667</v>
      </c>
      <c r="AT322" t="str">
        <f t="shared" si="267"/>
        <v>0,000228313910421269i</v>
      </c>
      <c r="AU322">
        <f t="shared" si="290"/>
        <v>2.2831391042126901E-4</v>
      </c>
      <c r="AV322">
        <f t="shared" si="291"/>
        <v>1.5707963267948966</v>
      </c>
      <c r="AW322" t="str">
        <f t="shared" si="268"/>
        <v>1+0,0768350409062675i</v>
      </c>
      <c r="AX322">
        <f t="shared" si="292"/>
        <v>1.0029474679718116</v>
      </c>
      <c r="AY322">
        <f t="shared" si="293"/>
        <v>7.6684372522923747E-2</v>
      </c>
      <c r="AZ322" t="str">
        <f t="shared" si="269"/>
        <v>1+18,187951825955i</v>
      </c>
      <c r="BA322">
        <f t="shared" si="294"/>
        <v>18.215421807448209</v>
      </c>
      <c r="BB322">
        <f t="shared" si="295"/>
        <v>1.5158701767849381</v>
      </c>
      <c r="BC322" s="41" t="str">
        <f t="shared" si="296"/>
        <v>-1,3143324655465+0,17398569905287i</v>
      </c>
      <c r="BD322">
        <f t="shared" si="297"/>
        <v>2.4495484672956538</v>
      </c>
      <c r="BE322" s="43">
        <f t="shared" si="298"/>
        <v>172.45927251935447</v>
      </c>
      <c r="BF322" s="41" t="str">
        <f t="shared" si="299"/>
        <v>-0,74014568383655+0,643611340382698i</v>
      </c>
      <c r="BG322" s="20">
        <f t="shared" si="300"/>
        <v>-0.16801818525682</v>
      </c>
      <c r="BH322" s="43">
        <f t="shared" si="301"/>
        <v>138.9906310770302</v>
      </c>
      <c r="BI322" s="41" t="str">
        <f t="shared" si="306"/>
        <v>-2,64250453200218+1,43287827900501i</v>
      </c>
      <c r="BJ322" s="20">
        <f t="shared" si="302"/>
        <v>9.5597479786469357</v>
      </c>
      <c r="BK322" s="43">
        <f t="shared" si="307"/>
        <v>151.53156872830817</v>
      </c>
      <c r="BL322">
        <f t="shared" si="303"/>
        <v>-0.16801818525682</v>
      </c>
      <c r="BM322" s="43">
        <f t="shared" si="304"/>
        <v>138.9906310770302</v>
      </c>
    </row>
    <row r="323" spans="14:65" x14ac:dyDescent="0.25">
      <c r="N323" s="9">
        <v>5</v>
      </c>
      <c r="O323" s="34">
        <f t="shared" si="308"/>
        <v>11220.184543019639</v>
      </c>
      <c r="P323" s="33" t="str">
        <f t="shared" si="257"/>
        <v>54,631621870174</v>
      </c>
      <c r="Q323" s="4" t="str">
        <f t="shared" si="258"/>
        <v>1+280,980588678976i</v>
      </c>
      <c r="R323" s="4">
        <f t="shared" si="270"/>
        <v>280.98236815569743</v>
      </c>
      <c r="S323" s="4">
        <f t="shared" si="271"/>
        <v>1.5672373771085253</v>
      </c>
      <c r="T323" s="4" t="str">
        <f t="shared" si="259"/>
        <v>1+3,52492493322723i</v>
      </c>
      <c r="U323" s="4">
        <f t="shared" si="272"/>
        <v>3.6640272631200483</v>
      </c>
      <c r="V323" s="4">
        <f t="shared" si="273"/>
        <v>1.294365488424289</v>
      </c>
      <c r="W323" t="str">
        <f t="shared" si="260"/>
        <v>1-0,280537414107257i</v>
      </c>
      <c r="X323" s="4">
        <f t="shared" si="274"/>
        <v>1.0386054307165868</v>
      </c>
      <c r="Y323" s="4">
        <f t="shared" si="275"/>
        <v>-0.27350697746029312</v>
      </c>
      <c r="Z323" t="str">
        <f t="shared" si="261"/>
        <v>0,999496429835282+0,0385435716997743i</v>
      </c>
      <c r="AA323" s="4">
        <f t="shared" si="276"/>
        <v>1.0002393314466544</v>
      </c>
      <c r="AB323" s="4">
        <f t="shared" si="277"/>
        <v>3.8543892180194501E-2</v>
      </c>
      <c r="AC323" s="47" t="str">
        <f t="shared" si="278"/>
        <v>0,616749345095419-0,408428131928068i</v>
      </c>
      <c r="AD323" s="20">
        <f t="shared" si="279"/>
        <v>-2.6185923394715442</v>
      </c>
      <c r="AE323" s="43">
        <f t="shared" si="280"/>
        <v>-33.513605393157434</v>
      </c>
      <c r="AF323" t="str">
        <f t="shared" si="262"/>
        <v>171,265703090588</v>
      </c>
      <c r="AG323" t="str">
        <f t="shared" si="263"/>
        <v>1+278,291599546021i</v>
      </c>
      <c r="AH323">
        <f t="shared" si="281"/>
        <v>278.29339621680379</v>
      </c>
      <c r="AI323">
        <f t="shared" si="282"/>
        <v>1.5672029890958703</v>
      </c>
      <c r="AJ323" t="str">
        <f t="shared" si="264"/>
        <v>1+3,52492493322723i</v>
      </c>
      <c r="AK323">
        <f t="shared" si="283"/>
        <v>3.6640272631200483</v>
      </c>
      <c r="AL323">
        <f t="shared" si="284"/>
        <v>1.294365488424289</v>
      </c>
      <c r="AM323" t="str">
        <f t="shared" si="265"/>
        <v>1-0,0886314603559324i</v>
      </c>
      <c r="AN323">
        <f t="shared" si="285"/>
        <v>1.0039200843517502</v>
      </c>
      <c r="AO323">
        <f t="shared" si="286"/>
        <v>-8.840046559935355E-2</v>
      </c>
      <c r="AP323" s="41" t="str">
        <f t="shared" si="287"/>
        <v>2,1176323534343-0,800077230734776i</v>
      </c>
      <c r="AQ323">
        <f t="shared" si="288"/>
        <v>7.096506804432118</v>
      </c>
      <c r="AR323" s="43">
        <f t="shared" si="289"/>
        <v>-20.697410867213748</v>
      </c>
      <c r="AS323" t="str">
        <f t="shared" si="266"/>
        <v>-0,0000166666666666667</v>
      </c>
      <c r="AT323" t="str">
        <f t="shared" si="267"/>
        <v>0,0002336320245743i</v>
      </c>
      <c r="AU323">
        <f t="shared" si="290"/>
        <v>2.3363202457430001E-4</v>
      </c>
      <c r="AV323">
        <f t="shared" si="291"/>
        <v>1.5707963267948966</v>
      </c>
      <c r="AW323" t="str">
        <f t="shared" si="268"/>
        <v>1+0,0786247589209886i</v>
      </c>
      <c r="AX323">
        <f t="shared" si="292"/>
        <v>1.0030861641531019</v>
      </c>
      <c r="AY323">
        <f t="shared" si="293"/>
        <v>7.8463341654180244E-2</v>
      </c>
      <c r="AZ323" t="str">
        <f t="shared" si="269"/>
        <v>1+18,6116036474397i</v>
      </c>
      <c r="BA323">
        <f t="shared" si="294"/>
        <v>18.638449246903317</v>
      </c>
      <c r="BB323">
        <f t="shared" si="295"/>
        <v>1.5171180204621153</v>
      </c>
      <c r="BC323" s="41" t="str">
        <f t="shared" si="296"/>
        <v>-1,31396902659647+0,17464775017838i</v>
      </c>
      <c r="BD323">
        <f t="shared" si="297"/>
        <v>2.4477582498393349</v>
      </c>
      <c r="BE323" s="43">
        <f t="shared" si="298"/>
        <v>172.42884127244372</v>
      </c>
      <c r="BF323" s="41" t="str">
        <f t="shared" si="299"/>
        <v>-0,739058482278242+0,644375800489042i</v>
      </c>
      <c r="BG323" s="20">
        <f t="shared" si="300"/>
        <v>-0.17083408963221408</v>
      </c>
      <c r="BH323" s="43">
        <f t="shared" si="301"/>
        <v>138.91523587928629</v>
      </c>
      <c r="BI323" s="41" t="str">
        <f t="shared" si="306"/>
        <v>-2,64277163381448+1,42111642630282i</v>
      </c>
      <c r="BJ323" s="20">
        <f t="shared" si="302"/>
        <v>9.5442650542714453</v>
      </c>
      <c r="BK323" s="43">
        <f t="shared" si="307"/>
        <v>151.73143040522999</v>
      </c>
      <c r="BL323">
        <f t="shared" si="303"/>
        <v>-0.17083408963221408</v>
      </c>
      <c r="BM323" s="43">
        <f t="shared" si="304"/>
        <v>138.91523587928629</v>
      </c>
    </row>
    <row r="324" spans="14:65" x14ac:dyDescent="0.25">
      <c r="N324" s="9">
        <v>6</v>
      </c>
      <c r="O324" s="34">
        <f t="shared" si="308"/>
        <v>11481.536214968832</v>
      </c>
      <c r="P324" s="33" t="str">
        <f t="shared" si="257"/>
        <v>54,631621870174</v>
      </c>
      <c r="Q324" s="4" t="str">
        <f t="shared" si="258"/>
        <v>1+287,525467362117i</v>
      </c>
      <c r="R324" s="4">
        <f t="shared" si="270"/>
        <v>287.52720633325083</v>
      </c>
      <c r="S324" s="4">
        <f t="shared" si="271"/>
        <v>1.5673183880329782</v>
      </c>
      <c r="T324" s="4" t="str">
        <f t="shared" si="259"/>
        <v>1+3,60703098248712i</v>
      </c>
      <c r="U324" s="4">
        <f t="shared" si="272"/>
        <v>3.7430832890308494</v>
      </c>
      <c r="V324" s="4">
        <f t="shared" si="273"/>
        <v>1.3003522169121453</v>
      </c>
      <c r="W324" t="str">
        <f t="shared" si="260"/>
        <v>1-0,28707196992852i</v>
      </c>
      <c r="X324" s="4">
        <f t="shared" si="274"/>
        <v>1.0403895020225076</v>
      </c>
      <c r="Y324" s="4">
        <f t="shared" si="275"/>
        <v>-0.27955442582594159</v>
      </c>
      <c r="Z324" t="str">
        <f t="shared" si="261"/>
        <v>0,999472697304577+0,0394413668178498i</v>
      </c>
      <c r="AA324" s="4">
        <f t="shared" si="276"/>
        <v>1.0002506156327755</v>
      </c>
      <c r="AB324" s="4">
        <f t="shared" si="277"/>
        <v>3.9441710115484307E-2</v>
      </c>
      <c r="AC324" s="47" t="str">
        <f t="shared" si="278"/>
        <v>0,616340596529385-0,409079781589302i</v>
      </c>
      <c r="AD324" s="20">
        <f t="shared" si="279"/>
        <v>-2.6183645205200614</v>
      </c>
      <c r="AE324" s="43">
        <f t="shared" si="280"/>
        <v>-33.573167148416125</v>
      </c>
      <c r="AF324" t="str">
        <f t="shared" si="262"/>
        <v>171,265703090588</v>
      </c>
      <c r="AG324" t="str">
        <f t="shared" si="263"/>
        <v>1+284,773843626045i</v>
      </c>
      <c r="AH324">
        <f t="shared" si="281"/>
        <v>284.77559939986276</v>
      </c>
      <c r="AI324">
        <f t="shared" si="282"/>
        <v>1.5672847827677143</v>
      </c>
      <c r="AJ324" t="str">
        <f t="shared" si="264"/>
        <v>1+3,60703098248712i</v>
      </c>
      <c r="AK324">
        <f t="shared" si="283"/>
        <v>3.7430832890308494</v>
      </c>
      <c r="AL324">
        <f t="shared" si="284"/>
        <v>1.3003522169121453</v>
      </c>
      <c r="AM324" t="str">
        <f t="shared" si="265"/>
        <v>1-0,0906959522778352i</v>
      </c>
      <c r="AN324">
        <f t="shared" si="285"/>
        <v>1.0041044546059854</v>
      </c>
      <c r="AO324">
        <f t="shared" si="286"/>
        <v>-9.0448491548120874E-2</v>
      </c>
      <c r="AP324" s="41" t="str">
        <f t="shared" si="287"/>
        <v>2,1175340552356-0,790720667629666i</v>
      </c>
      <c r="AQ324">
        <f t="shared" si="288"/>
        <v>7.083520236678762</v>
      </c>
      <c r="AR324" s="43">
        <f t="shared" si="289"/>
        <v>-20.476426267154011</v>
      </c>
      <c r="AS324" t="str">
        <f t="shared" si="266"/>
        <v>-0,0000166666666666667</v>
      </c>
      <c r="AT324" t="str">
        <f t="shared" si="267"/>
        <v>0,000239074013519247i</v>
      </c>
      <c r="AU324">
        <f t="shared" si="290"/>
        <v>2.3907401351924701E-4</v>
      </c>
      <c r="AV324">
        <f t="shared" si="291"/>
        <v>1.5707963267948966</v>
      </c>
      <c r="AW324" t="str">
        <f t="shared" si="268"/>
        <v>1+0,0804561648236114i</v>
      </c>
      <c r="AX324">
        <f t="shared" si="292"/>
        <v>1.0032313763325609</v>
      </c>
      <c r="AY324">
        <f t="shared" si="293"/>
        <v>8.0283233180371408E-2</v>
      </c>
      <c r="AZ324" t="str">
        <f t="shared" si="269"/>
        <v>1+19,045123587532i</v>
      </c>
      <c r="BA324">
        <f t="shared" si="294"/>
        <v>19.071358956937697</v>
      </c>
      <c r="BB324">
        <f t="shared" si="295"/>
        <v>1.5183376214565447</v>
      </c>
      <c r="BC324" s="41" t="str">
        <f t="shared" si="296"/>
        <v>-1,31358867466238+0,175399725041462i</v>
      </c>
      <c r="BD324">
        <f t="shared" si="297"/>
        <v>2.4459382244222039</v>
      </c>
      <c r="BE324" s="43">
        <f t="shared" si="298"/>
        <v>172.39444715849208</v>
      </c>
      <c r="BF324" s="41" t="str">
        <f t="shared" si="299"/>
        <v>-0,737865546124871+0,645468539292212i</v>
      </c>
      <c r="BG324" s="20">
        <f t="shared" si="300"/>
        <v>-0.17242629609785393</v>
      </c>
      <c r="BH324" s="43">
        <f t="shared" si="301"/>
        <v>138.82128001007598</v>
      </c>
      <c r="BI324" s="41" t="str">
        <f t="shared" si="306"/>
        <v>-2,64287656548254+1,41009660487406i</v>
      </c>
      <c r="BJ324" s="20">
        <f t="shared" si="302"/>
        <v>9.5294584611009583</v>
      </c>
      <c r="BK324" s="43">
        <f t="shared" si="307"/>
        <v>151.9180208913381</v>
      </c>
      <c r="BL324">
        <f t="shared" si="303"/>
        <v>-0.17242629609785393</v>
      </c>
      <c r="BM324" s="43">
        <f t="shared" si="304"/>
        <v>138.82128001007598</v>
      </c>
    </row>
    <row r="325" spans="14:65" x14ac:dyDescent="0.25">
      <c r="N325" s="9">
        <v>7</v>
      </c>
      <c r="O325" s="34">
        <f t="shared" si="308"/>
        <v>11748.975549395318</v>
      </c>
      <c r="P325" s="33" t="str">
        <f t="shared" si="257"/>
        <v>54,631621870174</v>
      </c>
      <c r="Q325" s="4" t="str">
        <f t="shared" si="258"/>
        <v>1+294,222795853903i</v>
      </c>
      <c r="R325" s="4">
        <f t="shared" si="270"/>
        <v>294.22449524145247</v>
      </c>
      <c r="S325" s="4">
        <f t="shared" si="271"/>
        <v>1.5673975549677688</v>
      </c>
      <c r="T325" s="4" t="str">
        <f t="shared" si="259"/>
        <v>1+3,69104952731864i</v>
      </c>
      <c r="U325" s="4">
        <f t="shared" si="272"/>
        <v>3.8241138337030653</v>
      </c>
      <c r="V325" s="4">
        <f t="shared" si="273"/>
        <v>1.3062219363981296</v>
      </c>
      <c r="W325" t="str">
        <f t="shared" si="260"/>
        <v>1-0,293758735108087i</v>
      </c>
      <c r="X325" s="4">
        <f t="shared" si="274"/>
        <v>1.0422543808746036</v>
      </c>
      <c r="Y325" s="4">
        <f t="shared" si="275"/>
        <v>-0.28572107347303904</v>
      </c>
      <c r="Z325" t="str">
        <f t="shared" si="261"/>
        <v>0,999447846294159+0,0403600742706805i</v>
      </c>
      <c r="AA325" s="4">
        <f t="shared" si="276"/>
        <v>1.000262432093282</v>
      </c>
      <c r="AB325" s="4">
        <f t="shared" si="277"/>
        <v>4.0360442004796951E-2</v>
      </c>
      <c r="AC325" s="47" t="str">
        <f t="shared" si="278"/>
        <v>0,615915438381187-0,409947410429971i</v>
      </c>
      <c r="AD325" s="20">
        <f t="shared" si="279"/>
        <v>-2.6168829940211373</v>
      </c>
      <c r="AE325" s="43">
        <f t="shared" si="280"/>
        <v>-33.64735526986879</v>
      </c>
      <c r="AF325" t="str">
        <f t="shared" si="262"/>
        <v>171,265703090588</v>
      </c>
      <c r="AG325" t="str">
        <f t="shared" si="263"/>
        <v>1+291,407078567387i</v>
      </c>
      <c r="AH325">
        <f t="shared" si="281"/>
        <v>291.40879437515139</v>
      </c>
      <c r="AI325">
        <f t="shared" si="282"/>
        <v>1.5673647146336807</v>
      </c>
      <c r="AJ325" t="str">
        <f t="shared" si="264"/>
        <v>1+3,69104952731864i</v>
      </c>
      <c r="AK325">
        <f t="shared" si="283"/>
        <v>3.8241138337030653</v>
      </c>
      <c r="AL325">
        <f t="shared" si="284"/>
        <v>1.3062219363981296</v>
      </c>
      <c r="AM325" t="str">
        <f t="shared" si="265"/>
        <v>1-0,0928085323941386i</v>
      </c>
      <c r="AN325">
        <f t="shared" si="285"/>
        <v>1.0042974776853488</v>
      </c>
      <c r="AO325">
        <f t="shared" si="286"/>
        <v>-9.2543434687007819E-2</v>
      </c>
      <c r="AP325" s="41" t="str">
        <f t="shared" si="287"/>
        <v>2,11744018107798-0,78178332400978i</v>
      </c>
      <c r="AQ325">
        <f t="shared" si="288"/>
        <v>7.0712186240202364</v>
      </c>
      <c r="AR325" s="43">
        <f t="shared" si="289"/>
        <v>-20.264727272427962</v>
      </c>
      <c r="AS325" t="str">
        <f t="shared" si="266"/>
        <v>-0,0000166666666666667</v>
      </c>
      <c r="AT325" t="str">
        <f t="shared" si="267"/>
        <v>0,00024464276267068i</v>
      </c>
      <c r="AU325">
        <f t="shared" si="290"/>
        <v>2.4464276267068002E-4</v>
      </c>
      <c r="AV325">
        <f t="shared" si="291"/>
        <v>1.5707963267948966</v>
      </c>
      <c r="AW325" t="str">
        <f t="shared" si="268"/>
        <v>1+0,082330229649787i</v>
      </c>
      <c r="AX325">
        <f t="shared" si="292"/>
        <v>1.0033834096267422</v>
      </c>
      <c r="AY325">
        <f t="shared" si="293"/>
        <v>8.21449637852492E-2</v>
      </c>
      <c r="AZ325" t="str">
        <f t="shared" si="269"/>
        <v>1+19,4887415042424i</v>
      </c>
      <c r="BA325">
        <f t="shared" si="294"/>
        <v>19.514380477462776</v>
      </c>
      <c r="BB325">
        <f t="shared" si="295"/>
        <v>1.5195296118960517</v>
      </c>
      <c r="BC325" s="41" t="str">
        <f t="shared" si="296"/>
        <v>-1,31319063323283+0,176241833397269i</v>
      </c>
      <c r="BD325">
        <f t="shared" si="297"/>
        <v>2.4440845907215976</v>
      </c>
      <c r="BE325" s="43">
        <f t="shared" si="298"/>
        <v>172.35607387364595</v>
      </c>
      <c r="BF325" s="41" t="str">
        <f t="shared" si="299"/>
        <v>-0,736564501335026+0,646889165572676i</v>
      </c>
      <c r="BG325" s="20">
        <f t="shared" si="300"/>
        <v>-0.17279840329953949</v>
      </c>
      <c r="BH325" s="43">
        <f t="shared" si="301"/>
        <v>138.70871860377713</v>
      </c>
      <c r="BI325" s="41" t="str">
        <f t="shared" si="306"/>
        <v>-2,64281968587954+1,3998120779295i</v>
      </c>
      <c r="BJ325" s="20">
        <f t="shared" si="302"/>
        <v>9.5153032147418468</v>
      </c>
      <c r="BK325" s="43">
        <f t="shared" si="307"/>
        <v>152.09134660121799</v>
      </c>
      <c r="BL325">
        <f t="shared" si="303"/>
        <v>-0.17279840329953949</v>
      </c>
      <c r="BM325" s="43">
        <f t="shared" si="304"/>
        <v>138.70871860377713</v>
      </c>
    </row>
    <row r="326" spans="14:65" x14ac:dyDescent="0.25">
      <c r="N326" s="9">
        <v>8</v>
      </c>
      <c r="O326" s="34">
        <f t="shared" si="308"/>
        <v>12022.644346174151</v>
      </c>
      <c r="P326" s="33" t="str">
        <f t="shared" si="257"/>
        <v>54,631621870174</v>
      </c>
      <c r="Q326" s="4" t="str">
        <f t="shared" si="258"/>
        <v>1+301,07612516655i</v>
      </c>
      <c r="R326" s="4">
        <f t="shared" si="270"/>
        <v>301.07778587153206</v>
      </c>
      <c r="S326" s="4">
        <f t="shared" si="271"/>
        <v>1.5674749198842817</v>
      </c>
      <c r="T326" s="4" t="str">
        <f t="shared" si="259"/>
        <v>1+3,77702511546636i</v>
      </c>
      <c r="U326" s="4">
        <f t="shared" si="272"/>
        <v>3.9071624899488979</v>
      </c>
      <c r="V326" s="4">
        <f t="shared" si="273"/>
        <v>1.3119761405705954</v>
      </c>
      <c r="W326" t="str">
        <f t="shared" si="260"/>
        <v>1-0,300601255057363i</v>
      </c>
      <c r="X326" s="4">
        <f t="shared" si="274"/>
        <v>1.0442035790697433</v>
      </c>
      <c r="Y326" s="4">
        <f t="shared" si="275"/>
        <v>-0.2920083132992955</v>
      </c>
      <c r="Z326" t="str">
        <f t="shared" si="261"/>
        <v>0,999421824091702+0,0413001811691181i</v>
      </c>
      <c r="AA326" s="4">
        <f t="shared" si="276"/>
        <v>1.000274805958536</v>
      </c>
      <c r="AB326" s="4">
        <f t="shared" si="277"/>
        <v>4.1300575073255838E-2</v>
      </c>
      <c r="AC326" s="47" t="str">
        <f t="shared" si="278"/>
        <v>0,615472971319302-0,4110314140193i</v>
      </c>
      <c r="AD326" s="20">
        <f t="shared" si="279"/>
        <v>-2.6141459949625845</v>
      </c>
      <c r="AE326" s="43">
        <f t="shared" si="280"/>
        <v>-33.736194303362787</v>
      </c>
      <c r="AF326" t="str">
        <f t="shared" si="262"/>
        <v>171,265703090588</v>
      </c>
      <c r="AG326" t="str">
        <f t="shared" si="263"/>
        <v>1+298,194821399014i</v>
      </c>
      <c r="AH326">
        <f t="shared" si="281"/>
        <v>298.19649815044755</v>
      </c>
      <c r="AI326">
        <f t="shared" si="282"/>
        <v>1.5674428270706153</v>
      </c>
      <c r="AJ326" t="str">
        <f t="shared" si="264"/>
        <v>1+3,77702511546636i</v>
      </c>
      <c r="AK326">
        <f t="shared" si="283"/>
        <v>3.9071624899488979</v>
      </c>
      <c r="AL326">
        <f t="shared" si="284"/>
        <v>1.3119761405705954</v>
      </c>
      <c r="AM326" t="str">
        <f t="shared" si="265"/>
        <v>1-0,0949703208227833i</v>
      </c>
      <c r="AN326">
        <f t="shared" si="285"/>
        <v>1.0044995579079079</v>
      </c>
      <c r="AO326">
        <f t="shared" si="286"/>
        <v>-9.4686332187885122E-2</v>
      </c>
      <c r="AP326" s="41" t="str">
        <f t="shared" si="287"/>
        <v>2,11735053185616-0,773260463251587i</v>
      </c>
      <c r="AQ326">
        <f t="shared" si="288"/>
        <v>7.0595817121518598</v>
      </c>
      <c r="AR326" s="43">
        <f t="shared" si="289"/>
        <v>-20.06229015458241</v>
      </c>
      <c r="AS326" t="str">
        <f t="shared" si="266"/>
        <v>-0,0000166666666666667</v>
      </c>
      <c r="AT326" t="str">
        <f t="shared" si="267"/>
        <v>0,00025034122465311i</v>
      </c>
      <c r="AU326">
        <f t="shared" si="290"/>
        <v>2.5034122465310998E-4</v>
      </c>
      <c r="AV326">
        <f t="shared" si="291"/>
        <v>1.5707963267948966</v>
      </c>
      <c r="AW326" t="str">
        <f t="shared" si="268"/>
        <v>1+0,0842479470534921i</v>
      </c>
      <c r="AX326">
        <f t="shared" si="292"/>
        <v>1.003542583342993</v>
      </c>
      <c r="AY326">
        <f t="shared" si="293"/>
        <v>8.4049468931586463E-2</v>
      </c>
      <c r="AZ326" t="str">
        <f t="shared" si="269"/>
        <v>1+19,9426926096623i</v>
      </c>
      <c r="BA326">
        <f t="shared" si="294"/>
        <v>19.967748709443416</v>
      </c>
      <c r="BB326">
        <f t="shared" si="295"/>
        <v>1.5206946102330245</v>
      </c>
      <c r="BC326" s="41" t="str">
        <f t="shared" si="296"/>
        <v>-1,31277409115529+0,177174319577949i</v>
      </c>
      <c r="BD326">
        <f t="shared" si="297"/>
        <v>2.4421934810378358</v>
      </c>
      <c r="BE326" s="43">
        <f t="shared" si="298"/>
        <v>172.31370325454813</v>
      </c>
      <c r="BF326" s="41" t="str">
        <f t="shared" si="299"/>
        <v>-0,735152759450311+0,648637395887576i</v>
      </c>
      <c r="BG326" s="20">
        <f t="shared" si="300"/>
        <v>-0.171952513924751</v>
      </c>
      <c r="BH326" s="43">
        <f t="shared" si="301"/>
        <v>138.57750895118539</v>
      </c>
      <c r="BI326" s="41" t="str">
        <f t="shared" si="306"/>
        <v>-2,64260102368151+1,39025644166104i</v>
      </c>
      <c r="BJ326" s="20">
        <f t="shared" si="302"/>
        <v>9.5017751931896868</v>
      </c>
      <c r="BK326" s="43">
        <f t="shared" si="307"/>
        <v>152.25141309996582</v>
      </c>
      <c r="BL326">
        <f t="shared" si="303"/>
        <v>-0.171952513924751</v>
      </c>
      <c r="BM326" s="43">
        <f t="shared" si="304"/>
        <v>138.57750895118539</v>
      </c>
    </row>
    <row r="327" spans="14:65" x14ac:dyDescent="0.25">
      <c r="N327" s="9">
        <v>9</v>
      </c>
      <c r="O327" s="34">
        <f t="shared" si="308"/>
        <v>12302.687708123816</v>
      </c>
      <c r="P327" s="33" t="str">
        <f t="shared" si="257"/>
        <v>54,631621870174</v>
      </c>
      <c r="Q327" s="4" t="str">
        <f t="shared" si="258"/>
        <v>1+308,089089025974i</v>
      </c>
      <c r="R327" s="4">
        <f t="shared" si="270"/>
        <v>308.09071192889684</v>
      </c>
      <c r="S327" s="4">
        <f t="shared" si="271"/>
        <v>1.5675505237987135</v>
      </c>
      <c r="T327" s="4" t="str">
        <f t="shared" si="259"/>
        <v>1+3,86500333232512i</v>
      </c>
      <c r="U327" s="4">
        <f t="shared" si="272"/>
        <v>3.9922738832505318</v>
      </c>
      <c r="V327" s="4">
        <f t="shared" si="273"/>
        <v>1.3176163555481752</v>
      </c>
      <c r="W327" t="str">
        <f t="shared" si="260"/>
        <v>1-0,307603157770999i</v>
      </c>
      <c r="X327" s="4">
        <f t="shared" si="274"/>
        <v>1.0462407479498637</v>
      </c>
      <c r="Y327" s="4">
        <f t="shared" si="275"/>
        <v>-0.2984174898877201</v>
      </c>
      <c r="Z327" t="str">
        <f t="shared" si="261"/>
        <v>0,999394575500625+0,0422621859702841i</v>
      </c>
      <c r="AA327" s="4">
        <f t="shared" si="276"/>
        <v>1.0002877635476011</v>
      </c>
      <c r="AB327" s="4">
        <f t="shared" si="277"/>
        <v>4.2262607900239328E-2</v>
      </c>
      <c r="AC327" s="47" t="str">
        <f t="shared" si="278"/>
        <v>0,615012259536734-0,412332297955883i</v>
      </c>
      <c r="AD327" s="20">
        <f t="shared" si="279"/>
        <v>-2.6101501989394142</v>
      </c>
      <c r="AE327" s="43">
        <f t="shared" si="280"/>
        <v>-33.839704764222773</v>
      </c>
      <c r="AF327" t="str">
        <f t="shared" si="262"/>
        <v>171,265703090588</v>
      </c>
      <c r="AG327" t="str">
        <f t="shared" si="263"/>
        <v>1+305,140671072022i</v>
      </c>
      <c r="AH327">
        <f t="shared" si="281"/>
        <v>305.14230965614047</v>
      </c>
      <c r="AI327">
        <f t="shared" si="282"/>
        <v>1.5675191614909509</v>
      </c>
      <c r="AJ327" t="str">
        <f t="shared" si="264"/>
        <v>1+3,86500333232512i</v>
      </c>
      <c r="AK327">
        <f t="shared" si="283"/>
        <v>3.9922738832505318</v>
      </c>
      <c r="AL327">
        <f t="shared" si="284"/>
        <v>1.3176163555481752</v>
      </c>
      <c r="AM327" t="str">
        <f t="shared" si="265"/>
        <v>1-0,097182463772609i</v>
      </c>
      <c r="AN327">
        <f t="shared" si="285"/>
        <v>1.0047111183145703</v>
      </c>
      <c r="AO327">
        <f t="shared" si="286"/>
        <v>-9.687824147830694E-2</v>
      </c>
      <c r="AP327" s="41" t="str">
        <f t="shared" si="287"/>
        <v>2,11726491742526-0,765147568357396i</v>
      </c>
      <c r="AQ327">
        <f t="shared" si="288"/>
        <v>7.0485901720991242</v>
      </c>
      <c r="AR327" s="43">
        <f t="shared" si="289"/>
        <v>-19.869090432354049</v>
      </c>
      <c r="AS327" t="str">
        <f t="shared" si="266"/>
        <v>-0,0000166666666666667</v>
      </c>
      <c r="AT327" t="str">
        <f t="shared" si="267"/>
        <v>0,000256172420866509i</v>
      </c>
      <c r="AU327">
        <f t="shared" si="290"/>
        <v>2.56172420866509E-4</v>
      </c>
      <c r="AV327">
        <f t="shared" si="291"/>
        <v>1.5707963267948966</v>
      </c>
      <c r="AW327" t="str">
        <f t="shared" si="268"/>
        <v>1+0,0862103338338784i</v>
      </c>
      <c r="AX327">
        <f t="shared" si="292"/>
        <v>1.003709231630231</v>
      </c>
      <c r="AY327">
        <f t="shared" si="293"/>
        <v>8.5997703119223279E-2</v>
      </c>
      <c r="AZ327" t="str">
        <f t="shared" si="269"/>
        <v>1+20,4072175946766i</v>
      </c>
      <c r="BA327">
        <f t="shared" si="294"/>
        <v>20.431704039469594</v>
      </c>
      <c r="BB327">
        <f t="shared" si="295"/>
        <v>1.5218332215085379</v>
      </c>
      <c r="BC327" s="41" t="str">
        <f t="shared" si="296"/>
        <v>-1,31233820118768+0,178197461713327i</v>
      </c>
      <c r="BD327">
        <f t="shared" si="297"/>
        <v>2.4402609526234991</v>
      </c>
      <c r="BE327" s="43">
        <f t="shared" si="298"/>
        <v>172.26731527868643</v>
      </c>
      <c r="BF327" s="41" t="str">
        <f t="shared" si="299"/>
        <v>-0,733627513510647+0,65071304976303i</v>
      </c>
      <c r="BG327" s="20">
        <f t="shared" si="300"/>
        <v>-0.16988924631591046</v>
      </c>
      <c r="BH327" s="43">
        <f t="shared" si="301"/>
        <v>138.42761051446368</v>
      </c>
      <c r="BI327" s="41" t="str">
        <f t="shared" si="306"/>
        <v>-2,64222027865423+1,38142361756113i</v>
      </c>
      <c r="BJ327" s="20">
        <f t="shared" si="302"/>
        <v>9.4888511247226113</v>
      </c>
      <c r="BK327" s="43">
        <f t="shared" si="307"/>
        <v>152.39822484633237</v>
      </c>
      <c r="BL327">
        <f t="shared" si="303"/>
        <v>-0.16988924631591046</v>
      </c>
      <c r="BM327" s="43">
        <f t="shared" si="304"/>
        <v>138.42761051446368</v>
      </c>
    </row>
    <row r="328" spans="14:65" x14ac:dyDescent="0.25">
      <c r="N328" s="9">
        <v>10</v>
      </c>
      <c r="O328" s="34">
        <f t="shared" si="308"/>
        <v>12589.254117941671</v>
      </c>
      <c r="P328" s="33" t="str">
        <f t="shared" si="257"/>
        <v>54,631621870174</v>
      </c>
      <c r="Q328" s="4" t="str">
        <f t="shared" si="258"/>
        <v>1+315,26540579844i</v>
      </c>
      <c r="R328" s="4">
        <f t="shared" si="270"/>
        <v>315.26699175977024</v>
      </c>
      <c r="S328" s="4">
        <f t="shared" si="271"/>
        <v>1.567624406793801</v>
      </c>
      <c r="T328" s="4" t="str">
        <f t="shared" si="259"/>
        <v>1+3,95503082511006i</v>
      </c>
      <c r="U328" s="4">
        <f t="shared" si="272"/>
        <v>4.0794936974544722</v>
      </c>
      <c r="V328" s="4">
        <f t="shared" si="273"/>
        <v>1.3231441358380736</v>
      </c>
      <c r="W328" t="str">
        <f t="shared" si="260"/>
        <v>1-0,314768155750494i</v>
      </c>
      <c r="X328" s="4">
        <f t="shared" si="274"/>
        <v>1.0483696828288041</v>
      </c>
      <c r="Y328" s="4">
        <f t="shared" si="275"/>
        <v>-0.30494989450556276</v>
      </c>
      <c r="Z328" t="str">
        <f t="shared" si="261"/>
        <v>0,999366042723016+0,0432465987418576i</v>
      </c>
      <c r="AA328" s="4">
        <f t="shared" si="276"/>
        <v>1.0003013324246852</v>
      </c>
      <c r="AB328" s="4">
        <f t="shared" si="277"/>
        <v>4.3247050684216637E-2</v>
      </c>
      <c r="AC328" s="47" t="str">
        <f t="shared" si="278"/>
        <v>0,6145323287892-0,413850677806289i</v>
      </c>
      <c r="AD328" s="20">
        <f t="shared" si="279"/>
        <v>-2.6048907289151888</v>
      </c>
      <c r="AE328" s="43">
        <f t="shared" si="280"/>
        <v>-33.957903098700427</v>
      </c>
      <c r="AF328" t="str">
        <f t="shared" si="262"/>
        <v>171,265703090588</v>
      </c>
      <c r="AG328" t="str">
        <f t="shared" si="263"/>
        <v>1+312,248310367847i</v>
      </c>
      <c r="AH328">
        <f t="shared" si="281"/>
        <v>312.24991165343079</v>
      </c>
      <c r="AI328">
        <f t="shared" si="282"/>
        <v>1.5675937583646471</v>
      </c>
      <c r="AJ328" t="str">
        <f t="shared" si="264"/>
        <v>1+3,95503082511006i</v>
      </c>
      <c r="AK328">
        <f t="shared" si="283"/>
        <v>4.0794936974544722</v>
      </c>
      <c r="AL328">
        <f t="shared" si="284"/>
        <v>1.3231441358380736</v>
      </c>
      <c r="AM328" t="str">
        <f t="shared" si="265"/>
        <v>1-0,099446134151089i</v>
      </c>
      <c r="AN328">
        <f t="shared" si="285"/>
        <v>1.0049326015199209</v>
      </c>
      <c r="AO328">
        <f t="shared" si="286"/>
        <v>-9.9120240443582502E-2</v>
      </c>
      <c r="AP328" s="41" t="str">
        <f t="shared" si="287"/>
        <v>2,1171831561976-0,757440339569653i</v>
      </c>
      <c r="AQ328">
        <f t="shared" si="288"/>
        <v>7.0382255949243113</v>
      </c>
      <c r="AR328" s="43">
        <f t="shared" si="289"/>
        <v>-19.68510311607794</v>
      </c>
      <c r="AS328" t="str">
        <f t="shared" si="266"/>
        <v>-0,0000166666666666667</v>
      </c>
      <c r="AT328" t="str">
        <f t="shared" si="267"/>
        <v>0,000262139443088295i</v>
      </c>
      <c r="AU328">
        <f t="shared" si="290"/>
        <v>2.62139443088295E-4</v>
      </c>
      <c r="AV328">
        <f t="shared" si="291"/>
        <v>1.5707963267948966</v>
      </c>
      <c r="AW328" t="str">
        <f t="shared" si="268"/>
        <v>1+0,0882184304743921i</v>
      </c>
      <c r="AX328">
        <f t="shared" si="292"/>
        <v>1.0038837041586866</v>
      </c>
      <c r="AY328">
        <f t="shared" si="293"/>
        <v>8.7990640136853315E-2</v>
      </c>
      <c r="AZ328" t="str">
        <f t="shared" si="269"/>
        <v>1+20,8825627565811i</v>
      </c>
      <c r="BA328">
        <f t="shared" si="294"/>
        <v>20.906492467234862</v>
      </c>
      <c r="BB328">
        <f t="shared" si="295"/>
        <v>1.5229460376135644</v>
      </c>
      <c r="BC328" s="41" t="str">
        <f t="shared" si="296"/>
        <v>-1,31188207849886+0,179311570908829i</v>
      </c>
      <c r="BD328">
        <f t="shared" si="297"/>
        <v>2.4382829798901309</v>
      </c>
      <c r="BE328" s="43">
        <f t="shared" si="298"/>
        <v>172.21688806493304</v>
      </c>
      <c r="BF328" s="41" t="str">
        <f t="shared" si="299"/>
        <v>-0,731985733637591+0,653116044638129i</v>
      </c>
      <c r="BG328" s="20">
        <f t="shared" si="300"/>
        <v>-0.1666077490250592</v>
      </c>
      <c r="BH328" s="43">
        <f t="shared" si="301"/>
        <v>138.25898496623259</v>
      </c>
      <c r="BI328" s="41" t="str">
        <f t="shared" si="306"/>
        <v>-2,64167682235733+1,37330784465302i</v>
      </c>
      <c r="BJ328" s="20">
        <f t="shared" si="302"/>
        <v>9.4765085748144333</v>
      </c>
      <c r="BK328" s="43">
        <f t="shared" si="307"/>
        <v>152.53178494885515</v>
      </c>
      <c r="BL328">
        <f t="shared" si="303"/>
        <v>-0.1666077490250592</v>
      </c>
      <c r="BM328" s="43">
        <f t="shared" si="304"/>
        <v>138.25898496623259</v>
      </c>
    </row>
    <row r="329" spans="14:65" x14ac:dyDescent="0.25">
      <c r="N329" s="9">
        <v>11</v>
      </c>
      <c r="O329" s="34">
        <f t="shared" si="308"/>
        <v>12882.49551693136</v>
      </c>
      <c r="P329" s="33" t="str">
        <f t="shared" si="257"/>
        <v>54,631621870174</v>
      </c>
      <c r="Q329" s="4" t="str">
        <f t="shared" si="258"/>
        <v>1+322,608880462092i</v>
      </c>
      <c r="R329" s="4">
        <f t="shared" si="270"/>
        <v>322.61043032271033</v>
      </c>
      <c r="S329" s="4">
        <f t="shared" si="271"/>
        <v>1.5676966080400581</v>
      </c>
      <c r="T329" s="4" t="str">
        <f t="shared" si="259"/>
        <v>1+4,0471553275895i</v>
      </c>
      <c r="U329" s="4">
        <f t="shared" si="272"/>
        <v>4.1688687009350716</v>
      </c>
      <c r="V329" s="4">
        <f t="shared" si="273"/>
        <v>1.3285610605023364</v>
      </c>
      <c r="W329" t="str">
        <f t="shared" si="260"/>
        <v>1-0,322100047972618i</v>
      </c>
      <c r="X329" s="4">
        <f t="shared" si="274"/>
        <v>1.0505943274661076</v>
      </c>
      <c r="Y329" s="4">
        <f t="shared" si="275"/>
        <v>-0.31160675989283632</v>
      </c>
      <c r="Z329" t="str">
        <f t="shared" si="261"/>
        <v>0,999336165237025+0,0442539414325207i</v>
      </c>
      <c r="AA329" s="4">
        <f t="shared" si="276"/>
        <v>1.0003155414582718</v>
      </c>
      <c r="AB329" s="4">
        <f t="shared" si="277"/>
        <v>4.4254425513778298E-2</v>
      </c>
      <c r="AC329" s="47" t="str">
        <f t="shared" si="278"/>
        <v>0,614032164353979-0,41558727907814i</v>
      </c>
      <c r="AD329" s="20">
        <f t="shared" si="279"/>
        <v>-2.5983611648396172</v>
      </c>
      <c r="AE329" s="43">
        <f t="shared" si="280"/>
        <v>-34.090801621782958</v>
      </c>
      <c r="AF329" t="str">
        <f t="shared" si="262"/>
        <v>171,265703090588</v>
      </c>
      <c r="AG329" t="str">
        <f t="shared" si="263"/>
        <v>1+319,521507850924i</v>
      </c>
      <c r="AH329">
        <f t="shared" si="281"/>
        <v>319.52307268697842</v>
      </c>
      <c r="AI329">
        <f t="shared" si="282"/>
        <v>1.5676666572406313</v>
      </c>
      <c r="AJ329" t="str">
        <f t="shared" si="264"/>
        <v>1+4,0471553275895i</v>
      </c>
      <c r="AK329">
        <f t="shared" si="283"/>
        <v>4.1688687009350716</v>
      </c>
      <c r="AL329">
        <f t="shared" si="284"/>
        <v>1.3285610605023364</v>
      </c>
      <c r="AM329" t="str">
        <f t="shared" si="265"/>
        <v>1-0,101762532186221i</v>
      </c>
      <c r="AN329">
        <f t="shared" si="285"/>
        <v>1.0051644706001859</v>
      </c>
      <c r="AO329">
        <f t="shared" si="286"/>
        <v>-0.10141342761538522</v>
      </c>
      <c r="AP329" s="41" t="str">
        <f t="shared" si="287"/>
        <v>2,11710507475757-0,750134692099743i</v>
      </c>
      <c r="AQ329">
        <f t="shared" si="288"/>
        <v>7.0284704857223055</v>
      </c>
      <c r="AR329" s="43">
        <f t="shared" si="289"/>
        <v>-19.510302939378391</v>
      </c>
      <c r="AS329" t="str">
        <f t="shared" si="266"/>
        <v>-0,0000166666666666667</v>
      </c>
      <c r="AT329" t="str">
        <f t="shared" si="267"/>
        <v>0,000268245455112632i</v>
      </c>
      <c r="AU329">
        <f t="shared" si="290"/>
        <v>2.6824545511263201E-4</v>
      </c>
      <c r="AV329">
        <f t="shared" si="291"/>
        <v>1.5707963267948966</v>
      </c>
      <c r="AW329" t="str">
        <f t="shared" si="268"/>
        <v>1+0,0902733016944525i</v>
      </c>
      <c r="AX329">
        <f t="shared" si="292"/>
        <v>1.0040663668298115</v>
      </c>
      <c r="AY329">
        <f t="shared" si="293"/>
        <v>9.0029273306596463E-2</v>
      </c>
      <c r="AZ329" t="str">
        <f t="shared" si="269"/>
        <v>1+21,3689801296726i</v>
      </c>
      <c r="BA329">
        <f t="shared" si="294"/>
        <v>21.39236573598961</v>
      </c>
      <c r="BB329">
        <f t="shared" si="295"/>
        <v>1.5240336375471342</v>
      </c>
      <c r="BC329" s="41" t="str">
        <f t="shared" si="296"/>
        <v>-1,31140479911712+0,180516990376349i</v>
      </c>
      <c r="BD329">
        <f t="shared" si="297"/>
        <v>2.4362554464800161</v>
      </c>
      <c r="BE329" s="43">
        <f t="shared" si="298"/>
        <v>172.16239787432363</v>
      </c>
      <c r="BF329" s="41" t="str">
        <f t="shared" si="299"/>
        <v>-0,730224162288199+0,655846390538555i</v>
      </c>
      <c r="BG329" s="20">
        <f t="shared" si="300"/>
        <v>-0.16210571835959739</v>
      </c>
      <c r="BH329" s="43">
        <f t="shared" si="301"/>
        <v>138.07159625254067</v>
      </c>
      <c r="BI329" s="41" t="str">
        <f t="shared" si="306"/>
        <v>-2,64096969827755+1,36590367160958i</v>
      </c>
      <c r="BJ329" s="20">
        <f t="shared" si="302"/>
        <v>9.4647259322023203</v>
      </c>
      <c r="BK329" s="43">
        <f t="shared" si="307"/>
        <v>152.65209493494518</v>
      </c>
      <c r="BL329">
        <f t="shared" si="303"/>
        <v>-0.16210571835959739</v>
      </c>
      <c r="BM329" s="43">
        <f t="shared" si="304"/>
        <v>138.07159625254067</v>
      </c>
    </row>
    <row r="330" spans="14:65" x14ac:dyDescent="0.25">
      <c r="N330" s="9">
        <v>12</v>
      </c>
      <c r="O330" s="34">
        <f t="shared" si="308"/>
        <v>13182.567385564091</v>
      </c>
      <c r="P330" s="33" t="str">
        <f t="shared" si="257"/>
        <v>54,631621870174</v>
      </c>
      <c r="Q330" s="4" t="str">
        <f t="shared" si="258"/>
        <v>1+330,123406624399i</v>
      </c>
      <c r="R330" s="4">
        <f t="shared" si="270"/>
        <v>330.12492120604628</v>
      </c>
      <c r="S330" s="4">
        <f t="shared" si="271"/>
        <v>1.567767165816528</v>
      </c>
      <c r="T330" s="4" t="str">
        <f t="shared" si="259"/>
        <v>1+4,14142568539405i</v>
      </c>
      <c r="U330" s="4">
        <f t="shared" si="272"/>
        <v>4.2604467732435731</v>
      </c>
      <c r="V330" s="4">
        <f t="shared" si="273"/>
        <v>1.333868729528576</v>
      </c>
      <c r="W330" t="str">
        <f t="shared" si="260"/>
        <v>1-0,329602721903675i</v>
      </c>
      <c r="X330" s="4">
        <f t="shared" si="274"/>
        <v>1.0529187785799583</v>
      </c>
      <c r="Y330" s="4">
        <f t="shared" si="275"/>
        <v>-0.3183892548441094</v>
      </c>
      <c r="Z330" t="str">
        <f t="shared" si="261"/>
        <v>0,9993048796685+0,0452847481487013i</v>
      </c>
      <c r="AA330" s="4">
        <f t="shared" si="276"/>
        <v>1.0003304208831032</v>
      </c>
      <c r="AB330" s="4">
        <f t="shared" si="277"/>
        <v>4.5285266645001883E-2</v>
      </c>
      <c r="AC330" s="47" t="str">
        <f t="shared" si="278"/>
        <v>0,613510708905361-0,417542937225856i</v>
      </c>
      <c r="AD330" s="20">
        <f t="shared" si="279"/>
        <v>-2.5905535561760322</v>
      </c>
      <c r="AE330" s="43">
        <f t="shared" si="280"/>
        <v>-34.238408431775184</v>
      </c>
      <c r="AF330" t="str">
        <f t="shared" si="262"/>
        <v>171,265703090588</v>
      </c>
      <c r="AG330" t="str">
        <f t="shared" si="263"/>
        <v>1+326,964119866831i</v>
      </c>
      <c r="AH330">
        <f t="shared" si="281"/>
        <v>326.96564908303662</v>
      </c>
      <c r="AI330">
        <f t="shared" si="282"/>
        <v>1.5677378967677509</v>
      </c>
      <c r="AJ330" t="str">
        <f t="shared" si="264"/>
        <v>1+4,14142568539405i</v>
      </c>
      <c r="AK330">
        <f t="shared" si="283"/>
        <v>4.2604467732435731</v>
      </c>
      <c r="AL330">
        <f t="shared" si="284"/>
        <v>1.333868729528576</v>
      </c>
      <c r="AM330" t="str">
        <f t="shared" si="265"/>
        <v>1-0,104132886062905i</v>
      </c>
      <c r="AN330">
        <f t="shared" si="285"/>
        <v>1.0054072100197959</v>
      </c>
      <c r="AO330">
        <f t="shared" si="286"/>
        <v>-0.10375892234541978</v>
      </c>
      <c r="AP330" s="41" t="str">
        <f t="shared" si="287"/>
        <v>2,11703050749394-0,743226753970249i</v>
      </c>
      <c r="AQ330">
        <f t="shared" si="288"/>
        <v>7.0193082570448704</v>
      </c>
      <c r="AR330" s="43">
        <f t="shared" si="289"/>
        <v>-19.344664578262162</v>
      </c>
      <c r="AS330" t="str">
        <f t="shared" si="266"/>
        <v>-0,0000166666666666667</v>
      </c>
      <c r="AT330" t="str">
        <f t="shared" si="267"/>
        <v>0,000274493694427918i</v>
      </c>
      <c r="AU330">
        <f t="shared" si="290"/>
        <v>2.74493694427918E-4</v>
      </c>
      <c r="AV330">
        <f t="shared" si="291"/>
        <v>1.5707963267948966</v>
      </c>
      <c r="AW330" t="str">
        <f t="shared" si="268"/>
        <v>1+0,0923760370139796i</v>
      </c>
      <c r="AX330">
        <f t="shared" si="292"/>
        <v>1.0042576025176051</v>
      </c>
      <c r="AY330">
        <f t="shared" si="293"/>
        <v>9.2114615720326351E-2</v>
      </c>
      <c r="AZ330" t="str">
        <f t="shared" si="269"/>
        <v>1+21,8667276188806i</v>
      </c>
      <c r="BA330">
        <f t="shared" si="294"/>
        <v>21.889581466038031</v>
      </c>
      <c r="BB330">
        <f t="shared" si="295"/>
        <v>1.5250965876713301</v>
      </c>
      <c r="BC330" s="41" t="str">
        <f t="shared" si="296"/>
        <v>-1,31090539832588+0,181814094513569i</v>
      </c>
      <c r="BD330">
        <f t="shared" si="297"/>
        <v>2.4341741371909404</v>
      </c>
      <c r="BE330" s="43">
        <f t="shared" si="298"/>
        <v>172.1038191111266</v>
      </c>
      <c r="BF330" s="41" t="str">
        <f t="shared" si="299"/>
        <v>-0,72833930918252+0,658904184456225i</v>
      </c>
      <c r="BG330" s="20">
        <f t="shared" si="300"/>
        <v>-0.15637941898509369</v>
      </c>
      <c r="BH330" s="43">
        <f t="shared" si="301"/>
        <v>137.86541067935138</v>
      </c>
      <c r="BI330" s="41" t="str">
        <f t="shared" si="306"/>
        <v>-2,64009762140302+1,35920594873743i</v>
      </c>
      <c r="BJ330" s="20">
        <f t="shared" si="302"/>
        <v>9.4534823942357988</v>
      </c>
      <c r="BK330" s="43">
        <f t="shared" si="307"/>
        <v>152.75915453286447</v>
      </c>
      <c r="BL330">
        <f t="shared" si="303"/>
        <v>-0.15637941898509369</v>
      </c>
      <c r="BM330" s="43">
        <f t="shared" si="304"/>
        <v>137.86541067935138</v>
      </c>
    </row>
    <row r="331" spans="14:65" x14ac:dyDescent="0.25">
      <c r="N331" s="9">
        <v>13</v>
      </c>
      <c r="O331" s="34">
        <f t="shared" si="308"/>
        <v>13489.628825916556</v>
      </c>
      <c r="P331" s="33" t="str">
        <f t="shared" si="257"/>
        <v>54,631621870174</v>
      </c>
      <c r="Q331" s="4" t="str">
        <f t="shared" si="258"/>
        <v>1+337,812968586597i</v>
      </c>
      <c r="R331" s="4">
        <f t="shared" si="270"/>
        <v>337.81444869230972</v>
      </c>
      <c r="S331" s="4">
        <f t="shared" si="271"/>
        <v>1.5678361175310664</v>
      </c>
      <c r="T331" s="4" t="str">
        <f t="shared" si="259"/>
        <v>1+4,23789188191526i</v>
      </c>
      <c r="U331" s="4">
        <f t="shared" si="272"/>
        <v>4.3542769322590482</v>
      </c>
      <c r="V331" s="4">
        <f t="shared" si="273"/>
        <v>1.3390687604009393</v>
      </c>
      <c r="W331" t="str">
        <f t="shared" si="260"/>
        <v>1-0,337280155560693i</v>
      </c>
      <c r="X331" s="4">
        <f t="shared" si="274"/>
        <v>1.0553472903907251</v>
      </c>
      <c r="Y331" s="4">
        <f t="shared" si="275"/>
        <v>-0.32529847858893196</v>
      </c>
      <c r="Z331" t="str">
        <f t="shared" si="261"/>
        <v>0,999272119656556+0,0463395654377649i</v>
      </c>
      <c r="AA331" s="4">
        <f t="shared" si="276"/>
        <v>1.0003460023651154</v>
      </c>
      <c r="AB331" s="4">
        <f t="shared" si="277"/>
        <v>4.634012078530847E-2</v>
      </c>
      <c r="AC331" s="47" t="str">
        <f t="shared" si="278"/>
        <v>0,612966860302432-0,419718597687338i</v>
      </c>
      <c r="AD331" s="20">
        <f t="shared" si="279"/>
        <v>-2.5814584374067429</v>
      </c>
      <c r="AE331" s="43">
        <f t="shared" si="280"/>
        <v>-34.400727302215543</v>
      </c>
      <c r="AF331" t="str">
        <f t="shared" si="262"/>
        <v>171,265703090588</v>
      </c>
      <c r="AG331" t="str">
        <f t="shared" si="263"/>
        <v>1+334,580092586972i</v>
      </c>
      <c r="AH331">
        <f t="shared" si="281"/>
        <v>334.58158699412428</v>
      </c>
      <c r="AI331">
        <f t="shared" si="282"/>
        <v>1.5678075147152526</v>
      </c>
      <c r="AJ331" t="str">
        <f t="shared" si="264"/>
        <v>1+4,23789188191526i</v>
      </c>
      <c r="AK331">
        <f t="shared" si="283"/>
        <v>4.3542769322590482</v>
      </c>
      <c r="AL331">
        <f t="shared" si="284"/>
        <v>1.3390687604009393</v>
      </c>
      <c r="AM331" t="str">
        <f t="shared" si="265"/>
        <v>1-0,106558452574141i</v>
      </c>
      <c r="AN331">
        <f t="shared" si="285"/>
        <v>1.0056613265980727</v>
      </c>
      <c r="AO331">
        <f t="shared" si="286"/>
        <v>-0.10615786496255987</v>
      </c>
      <c r="AP331" s="41" t="str">
        <f t="shared" si="287"/>
        <v>2,11695929624866-0,73671286396949i</v>
      </c>
      <c r="AQ331">
        <f t="shared" si="288"/>
        <v>7.0107232218826487</v>
      </c>
      <c r="AR331" s="43">
        <f t="shared" si="289"/>
        <v>-19.1881628577644</v>
      </c>
      <c r="AS331" t="str">
        <f t="shared" si="266"/>
        <v>-0,0000166666666666667</v>
      </c>
      <c r="AT331" t="str">
        <f t="shared" si="267"/>
        <v>0,000280887473933343i</v>
      </c>
      <c r="AU331">
        <f t="shared" si="290"/>
        <v>2.8088747393334299E-4</v>
      </c>
      <c r="AV331">
        <f t="shared" si="291"/>
        <v>1.5707963267948966</v>
      </c>
      <c r="AW331" t="str">
        <f t="shared" si="268"/>
        <v>1+0,0945277513310729i</v>
      </c>
      <c r="AX331">
        <f t="shared" si="292"/>
        <v>1.0044578118426424</v>
      </c>
      <c r="AY331">
        <f t="shared" si="293"/>
        <v>9.4247700466649709E-2</v>
      </c>
      <c r="AZ331" t="str">
        <f t="shared" si="269"/>
        <v>1+22,3760691365125i</v>
      </c>
      <c r="BA331">
        <f t="shared" si="294"/>
        <v>22.39840329135064</v>
      </c>
      <c r="BB331">
        <f t="shared" si="295"/>
        <v>1.5261354419630084</v>
      </c>
      <c r="BC331" s="41" t="str">
        <f t="shared" si="296"/>
        <v>-1,31038286900613+0,183203287926989i</v>
      </c>
      <c r="BD331">
        <f t="shared" si="297"/>
        <v>2.4320347297431693</v>
      </c>
      <c r="BE331" s="43">
        <f t="shared" si="298"/>
        <v>172.04112432426072</v>
      </c>
      <c r="BF331" s="41" t="str">
        <f t="shared" si="299"/>
        <v>-0,726327445908355+0,662289604410452i</v>
      </c>
      <c r="BG331" s="20">
        <f t="shared" si="300"/>
        <v>-0.14942370766357901</v>
      </c>
      <c r="BH331" s="43">
        <f t="shared" si="301"/>
        <v>137.64039702204519</v>
      </c>
      <c r="BI331" s="41" t="str">
        <f t="shared" si="306"/>
        <v>-2,6390589772502+1,35320981980242i</v>
      </c>
      <c r="BJ331" s="20">
        <f t="shared" si="302"/>
        <v>9.4427579516258202</v>
      </c>
      <c r="BK331" s="43">
        <f t="shared" si="307"/>
        <v>152.8529614664964</v>
      </c>
      <c r="BL331">
        <f t="shared" si="303"/>
        <v>-0.14942370766357901</v>
      </c>
      <c r="BM331" s="43">
        <f t="shared" si="304"/>
        <v>137.64039702204519</v>
      </c>
    </row>
    <row r="332" spans="14:65" x14ac:dyDescent="0.25">
      <c r="N332" s="9">
        <v>14</v>
      </c>
      <c r="O332" s="34">
        <f t="shared" si="308"/>
        <v>13803.842646028841</v>
      </c>
      <c r="P332" s="33" t="str">
        <f t="shared" si="257"/>
        <v>54,631621870174</v>
      </c>
      <c r="Q332" s="4" t="str">
        <f t="shared" si="258"/>
        <v>1+345,681643456223i</v>
      </c>
      <c r="R332" s="4">
        <f t="shared" si="270"/>
        <v>345.68308987075909</v>
      </c>
      <c r="S332" s="4">
        <f t="shared" si="271"/>
        <v>1.5679034997401609</v>
      </c>
      <c r="T332" s="4" t="str">
        <f t="shared" si="259"/>
        <v>1+4,33660506480737i</v>
      </c>
      <c r="U332" s="4">
        <f t="shared" si="272"/>
        <v>4.4504093618579557</v>
      </c>
      <c r="V332" s="4">
        <f t="shared" si="273"/>
        <v>1.3441627848665456</v>
      </c>
      <c r="W332" t="str">
        <f t="shared" si="260"/>
        <v>1-0,345136419620619i</v>
      </c>
      <c r="X332" s="4">
        <f t="shared" si="274"/>
        <v>1.0578842791858381</v>
      </c>
      <c r="Y332" s="4">
        <f t="shared" si="275"/>
        <v>-0.33233545497800238</v>
      </c>
      <c r="Z332" t="str">
        <f t="shared" si="261"/>
        <v>0,999237815712815+0,0474189525778002i</v>
      </c>
      <c r="AA332" s="4">
        <f t="shared" si="276"/>
        <v>1.0003623190694926</v>
      </c>
      <c r="AB332" s="4">
        <f t="shared" si="277"/>
        <v>4.7419547383956262E-2</v>
      </c>
      <c r="AC332" s="47" t="str">
        <f t="shared" si="278"/>
        <v>0,61239946928468-0,422115315949668i</v>
      </c>
      <c r="AD332" s="20">
        <f t="shared" si="279"/>
        <v>-2.5710648465996835</v>
      </c>
      <c r="AE332" s="43">
        <f t="shared" si="280"/>
        <v>-34.577757551818941</v>
      </c>
      <c r="AF332" t="str">
        <f t="shared" si="262"/>
        <v>171,265703090588</v>
      </c>
      <c r="AG332" t="str">
        <f t="shared" si="263"/>
        <v>1+342,373464100894i</v>
      </c>
      <c r="AH332">
        <f t="shared" si="281"/>
        <v>342.37492449133327</v>
      </c>
      <c r="AI332">
        <f t="shared" si="282"/>
        <v>1.5678755479927926</v>
      </c>
      <c r="AJ332" t="str">
        <f t="shared" si="264"/>
        <v>1+4,33660506480737i</v>
      </c>
      <c r="AK332">
        <f t="shared" si="283"/>
        <v>4.4504093618579557</v>
      </c>
      <c r="AL332">
        <f t="shared" si="284"/>
        <v>1.3441627848665456</v>
      </c>
      <c r="AM332" t="str">
        <f t="shared" si="265"/>
        <v>1-0,109040517787399i</v>
      </c>
      <c r="AN332">
        <f t="shared" si="285"/>
        <v>1.0059273505175927</v>
      </c>
      <c r="AO332">
        <f t="shared" si="286"/>
        <v>-0.10861141691177212</v>
      </c>
      <c r="AP332" s="41" t="str">
        <f t="shared" si="287"/>
        <v>2,11689128998138-0,730589569717288i</v>
      </c>
      <c r="AQ332">
        <f t="shared" si="288"/>
        <v>7.0027005863264691</v>
      </c>
      <c r="AR332" s="43">
        <f t="shared" si="289"/>
        <v>-19.040772946324203</v>
      </c>
      <c r="AS332" t="str">
        <f t="shared" si="266"/>
        <v>-0,0000166666666666667</v>
      </c>
      <c r="AT332" t="str">
        <f t="shared" si="267"/>
        <v>0,000287430183695432i</v>
      </c>
      <c r="AU332">
        <f t="shared" si="290"/>
        <v>2.87430183695432E-4</v>
      </c>
      <c r="AV332">
        <f t="shared" si="291"/>
        <v>1.5707963267948966</v>
      </c>
      <c r="AW332" t="str">
        <f t="shared" si="268"/>
        <v>1+0,0967295855131445i</v>
      </c>
      <c r="AX332">
        <f t="shared" si="292"/>
        <v>1.0046674139801413</v>
      </c>
      <c r="AY332">
        <f t="shared" si="293"/>
        <v>9.6429580847347207E-2</v>
      </c>
      <c r="AZ332" t="str">
        <f t="shared" si="269"/>
        <v>1+22,8972747421829i</v>
      </c>
      <c r="BA332">
        <f t="shared" si="294"/>
        <v>22.91910099936311</v>
      </c>
      <c r="BB332">
        <f t="shared" si="295"/>
        <v>1.5271507422621575</v>
      </c>
      <c r="BC332" s="41" t="str">
        <f t="shared" si="296"/>
        <v>-1,30983615992485+0,184685004393602i</v>
      </c>
      <c r="BD332">
        <f t="shared" si="297"/>
        <v>2.4298327863752114</v>
      </c>
      <c r="BE332" s="43">
        <f t="shared" si="298"/>
        <v>171.97428420912402</v>
      </c>
      <c r="BF332" s="41" t="str">
        <f t="shared" si="299"/>
        <v>-0,72418460020709+0,666002903164459i</v>
      </c>
      <c r="BG332" s="20">
        <f t="shared" si="300"/>
        <v>-0.14123206022447116</v>
      </c>
      <c r="BH332" s="43">
        <f t="shared" si="301"/>
        <v>137.39652665730503</v>
      </c>
      <c r="BI332" s="41" t="str">
        <f t="shared" si="306"/>
        <v>-2,63785182035442+1,34791071367063i</v>
      </c>
      <c r="BJ332" s="20">
        <f t="shared" si="302"/>
        <v>9.4325333727016911</v>
      </c>
      <c r="BK332" s="43">
        <f t="shared" si="307"/>
        <v>152.93351126279984</v>
      </c>
      <c r="BL332">
        <f t="shared" si="303"/>
        <v>-0.14123206022447116</v>
      </c>
      <c r="BM332" s="43">
        <f t="shared" si="304"/>
        <v>137.39652665730503</v>
      </c>
    </row>
    <row r="333" spans="14:65" x14ac:dyDescent="0.25">
      <c r="N333" s="9">
        <v>15</v>
      </c>
      <c r="O333" s="34">
        <f t="shared" si="308"/>
        <v>14125.375446227561</v>
      </c>
      <c r="P333" s="33" t="str">
        <f t="shared" si="257"/>
        <v>54,631621870174</v>
      </c>
      <c r="Q333" s="4" t="str">
        <f t="shared" si="258"/>
        <v>1+353,733603308847i</v>
      </c>
      <c r="R333" s="4">
        <f t="shared" si="270"/>
        <v>353.73501679910169</v>
      </c>
      <c r="S333" s="4">
        <f t="shared" si="271"/>
        <v>1.5679693481683017</v>
      </c>
      <c r="T333" s="4" t="str">
        <f t="shared" si="259"/>
        <v>1+4,43761757310661i</v>
      </c>
      <c r="U333" s="4">
        <f t="shared" si="272"/>
        <v>4.5488954401200079</v>
      </c>
      <c r="V333" s="4">
        <f t="shared" si="273"/>
        <v>1.3491524458921822</v>
      </c>
      <c r="W333" t="str">
        <f t="shared" si="260"/>
        <v>1-0,35317567957865i</v>
      </c>
      <c r="X333" s="4">
        <f t="shared" si="274"/>
        <v>1.0605343278960098</v>
      </c>
      <c r="Y333" s="4">
        <f t="shared" si="275"/>
        <v>-0.33950112648414416</v>
      </c>
      <c r="Z333" t="str">
        <f t="shared" si="261"/>
        <v>0,999201895074012+0,0485234818741564i</v>
      </c>
      <c r="AA333" s="4">
        <f t="shared" si="276"/>
        <v>1.0003794057319895</v>
      </c>
      <c r="AB333" s="4">
        <f t="shared" si="277"/>
        <v>4.8524118929332082E-2</v>
      </c>
      <c r="AC333" s="47" t="str">
        <f t="shared" si="278"/>
        <v>0,611807337070941-0,424734257641775i</v>
      </c>
      <c r="AD333" s="20">
        <f t="shared" si="279"/>
        <v>-2.5593603471308555</v>
      </c>
      <c r="AE333" s="43">
        <f t="shared" si="280"/>
        <v>-34.769493893268333</v>
      </c>
      <c r="AF333" t="str">
        <f t="shared" si="262"/>
        <v>171,265703090588</v>
      </c>
      <c r="AG333" t="str">
        <f t="shared" si="263"/>
        <v>1+350,348366557332i</v>
      </c>
      <c r="AH333">
        <f t="shared" si="281"/>
        <v>350.34979370536337</v>
      </c>
      <c r="AI333">
        <f t="shared" si="282"/>
        <v>1.5679420326699949</v>
      </c>
      <c r="AJ333" t="str">
        <f t="shared" si="264"/>
        <v>1+4,43761757310661i</v>
      </c>
      <c r="AK333">
        <f t="shared" si="283"/>
        <v>4.5488954401200079</v>
      </c>
      <c r="AL333">
        <f t="shared" si="284"/>
        <v>1.3491524458921822</v>
      </c>
      <c r="AM333" t="str">
        <f t="shared" si="265"/>
        <v>1-0,111580397726511i</v>
      </c>
      <c r="AN333">
        <f t="shared" si="285"/>
        <v>1.0062058363758413</v>
      </c>
      <c r="AO333">
        <f t="shared" si="286"/>
        <v>-0.11112076087301824</v>
      </c>
      <c r="AP333" s="41" t="str">
        <f t="shared" si="287"/>
        <v>2,11682634444928-0,724853625841045i</v>
      </c>
      <c r="AQ333">
        <f t="shared" si="288"/>
        <v>6.995226442022707</v>
      </c>
      <c r="AR333" s="43">
        <f t="shared" si="289"/>
        <v>-18.902470538086355</v>
      </c>
      <c r="AS333" t="str">
        <f t="shared" si="266"/>
        <v>-0,0000166666666666667</v>
      </c>
      <c r="AT333" t="str">
        <f t="shared" si="267"/>
        <v>0,000294125292745506i</v>
      </c>
      <c r="AU333">
        <f t="shared" si="290"/>
        <v>2.9412529274550601E-4</v>
      </c>
      <c r="AV333">
        <f t="shared" si="291"/>
        <v>1.5707963267948966</v>
      </c>
      <c r="AW333" t="str">
        <f t="shared" si="268"/>
        <v>1+0,0989827070018228i</v>
      </c>
      <c r="AX333">
        <f t="shared" si="292"/>
        <v>1.0048868475034434</v>
      </c>
      <c r="AY333">
        <f t="shared" si="293"/>
        <v>9.8661330582005435E-2</v>
      </c>
      <c r="AZ333" t="str">
        <f t="shared" si="269"/>
        <v>1+23,4306207860029i</v>
      </c>
      <c r="BA333">
        <f t="shared" si="294"/>
        <v>23.451950674037143</v>
      </c>
      <c r="BB333">
        <f t="shared" si="295"/>
        <v>1.5281430185168137</v>
      </c>
      <c r="BC333" s="41" t="str">
        <f t="shared" si="296"/>
        <v>-1,30926417396925+0,186259705755972i</v>
      </c>
      <c r="BD333">
        <f t="shared" si="297"/>
        <v>2.4275637452579852</v>
      </c>
      <c r="BE333" s="43">
        <f t="shared" si="298"/>
        <v>171.90326760990158</v>
      </c>
      <c r="BF333" s="41" t="str">
        <f t="shared" si="299"/>
        <v>-0,721906549945674+0,670044401569979i</v>
      </c>
      <c r="BG333" s="20">
        <f t="shared" si="300"/>
        <v>-0.13179660187287273</v>
      </c>
      <c r="BH333" s="43">
        <f t="shared" si="301"/>
        <v>137.13377371663327</v>
      </c>
      <c r="BI333" s="41" t="str">
        <f t="shared" si="306"/>
        <v>-2,63647387223643+1,343304335739i</v>
      </c>
      <c r="BJ333" s="20">
        <f t="shared" si="302"/>
        <v>9.4227901872806825</v>
      </c>
      <c r="BK333" s="43">
        <f t="shared" si="307"/>
        <v>153.00079707181527</v>
      </c>
      <c r="BL333">
        <f t="shared" si="303"/>
        <v>-0.13179660187287273</v>
      </c>
      <c r="BM333" s="43">
        <f t="shared" si="304"/>
        <v>137.13377371663327</v>
      </c>
    </row>
    <row r="334" spans="14:65" x14ac:dyDescent="0.25">
      <c r="N334" s="9">
        <v>16</v>
      </c>
      <c r="O334" s="34">
        <f t="shared" si="308"/>
        <v>14454.397707459291</v>
      </c>
      <c r="P334" s="33" t="str">
        <f t="shared" si="257"/>
        <v>54,631621870174</v>
      </c>
      <c r="Q334" s="4" t="str">
        <f t="shared" si="258"/>
        <v>1+361,973117400164i</v>
      </c>
      <c r="R334" s="4">
        <f t="shared" si="270"/>
        <v>361.97449871557654</v>
      </c>
      <c r="S334" s="4">
        <f t="shared" si="271"/>
        <v>1.5680336977269114</v>
      </c>
      <c r="T334" s="4" t="str">
        <f t="shared" si="259"/>
        <v>1+4,54098296498193i</v>
      </c>
      <c r="U334" s="4">
        <f t="shared" si="272"/>
        <v>4.6497877680874948</v>
      </c>
      <c r="V334" s="4">
        <f t="shared" si="273"/>
        <v>1.3540393948056022</v>
      </c>
      <c r="W334" t="str">
        <f t="shared" si="260"/>
        <v>1-0,361402197956825i</v>
      </c>
      <c r="X334" s="4">
        <f t="shared" si="274"/>
        <v>1.0633021906720705</v>
      </c>
      <c r="Y334" s="4">
        <f t="shared" si="275"/>
        <v>-0.34679634802920961</v>
      </c>
      <c r="Z334" t="str">
        <f t="shared" si="261"/>
        <v>0,999164281547658+0,0496537389628864i</v>
      </c>
      <c r="AA334" s="4">
        <f t="shared" si="276"/>
        <v>1.0003972987336793</v>
      </c>
      <c r="AB334" s="4">
        <f t="shared" si="277"/>
        <v>4.9654421253197696E-2</v>
      </c>
      <c r="AC334" s="47" t="str">
        <f t="shared" si="278"/>
        <v>0,611189212856783-0,427576698651928i</v>
      </c>
      <c r="AD334" s="20">
        <f t="shared" si="279"/>
        <v>-2.5463310526707996</v>
      </c>
      <c r="AE334" s="43">
        <f t="shared" si="280"/>
        <v>-34.975926261831738</v>
      </c>
      <c r="AF334" t="str">
        <f t="shared" si="262"/>
        <v>171,265703090588</v>
      </c>
      <c r="AG334" t="str">
        <f t="shared" si="263"/>
        <v>1+358,509028355126i</v>
      </c>
      <c r="AH334">
        <f t="shared" si="281"/>
        <v>358.51042301742996</v>
      </c>
      <c r="AI334">
        <f t="shared" si="282"/>
        <v>1.5680070039955625</v>
      </c>
      <c r="AJ334" t="str">
        <f t="shared" si="264"/>
        <v>1+4,54098296498193i</v>
      </c>
      <c r="AK334">
        <f t="shared" si="283"/>
        <v>4.6497877680874948</v>
      </c>
      <c r="AL334">
        <f t="shared" si="284"/>
        <v>1.3540393948056022</v>
      </c>
      <c r="AM334" t="str">
        <f t="shared" si="265"/>
        <v>1-0,114179439069438i</v>
      </c>
      <c r="AN334">
        <f t="shared" si="285"/>
        <v>1.0064973642818005</v>
      </c>
      <c r="AO334">
        <f t="shared" si="286"/>
        <v>-0.11368710085820266</v>
      </c>
      <c r="AP334" s="41" t="str">
        <f t="shared" si="287"/>
        <v>2,11676432190109-0,719501992261082i</v>
      </c>
      <c r="AQ334">
        <f t="shared" si="288"/>
        <v>6.9882877585264493</v>
      </c>
      <c r="AR334" s="43">
        <f t="shared" si="289"/>
        <v>-18.773232023342494</v>
      </c>
      <c r="AS334" t="str">
        <f t="shared" si="266"/>
        <v>-0,0000166666666666667</v>
      </c>
      <c r="AT334" t="str">
        <f t="shared" si="267"/>
        <v>0,000300976350919002i</v>
      </c>
      <c r="AU334">
        <f t="shared" si="290"/>
        <v>3.0097635091900203E-4</v>
      </c>
      <c r="AV334">
        <f t="shared" si="291"/>
        <v>1.5707963267948966</v>
      </c>
      <c r="AW334" t="str">
        <f t="shared" si="268"/>
        <v>1+0,101288310431944i</v>
      </c>
      <c r="AX334">
        <f t="shared" si="292"/>
        <v>1.0051165712643275</v>
      </c>
      <c r="AY334">
        <f t="shared" si="293"/>
        <v>0.10094404399947235</v>
      </c>
      <c r="AZ334" t="str">
        <f t="shared" si="269"/>
        <v>1+23,9763900551046i</v>
      </c>
      <c r="BA334">
        <f t="shared" si="294"/>
        <v>23.997234842258777</v>
      </c>
      <c r="BB334">
        <f t="shared" si="295"/>
        <v>1.5291127890244713</v>
      </c>
      <c r="BC334" s="41" t="str">
        <f t="shared" si="296"/>
        <v>-1,30866576632661+0,187927880745107i</v>
      </c>
      <c r="BD334">
        <f t="shared" si="297"/>
        <v>2.425222911715506</v>
      </c>
      <c r="BE334" s="43">
        <f t="shared" si="298"/>
        <v>171.82804152242781</v>
      </c>
      <c r="BF334" s="41" t="str">
        <f t="shared" si="299"/>
        <v>-0,719488816780133+0,674414481511173i</v>
      </c>
      <c r="BG334" s="20">
        <f t="shared" si="300"/>
        <v>-0.12110814095529215</v>
      </c>
      <c r="BH334" s="43">
        <f t="shared" si="301"/>
        <v>136.85211526059607</v>
      </c>
      <c r="BI334" s="41" t="str">
        <f t="shared" si="306"/>
        <v>-2,63492251885601+1,3393866591276i</v>
      </c>
      <c r="BJ334" s="20">
        <f t="shared" si="302"/>
        <v>9.413510670241962</v>
      </c>
      <c r="BK334" s="43">
        <f t="shared" si="307"/>
        <v>153.05480949908525</v>
      </c>
      <c r="BL334">
        <f t="shared" si="303"/>
        <v>-0.12110814095529215</v>
      </c>
      <c r="BM334" s="43">
        <f t="shared" si="304"/>
        <v>136.85211526059607</v>
      </c>
    </row>
    <row r="335" spans="14:65" x14ac:dyDescent="0.25">
      <c r="N335" s="9">
        <v>17</v>
      </c>
      <c r="O335" s="34">
        <f t="shared" si="308"/>
        <v>14791.083881682089</v>
      </c>
      <c r="P335" s="33" t="str">
        <f t="shared" si="257"/>
        <v>54,631621870174</v>
      </c>
      <c r="Q335" s="4" t="str">
        <f t="shared" si="258"/>
        <v>1+370,404554429606i</v>
      </c>
      <c r="R335" s="4">
        <f t="shared" si="270"/>
        <v>370.40590430255691</v>
      </c>
      <c r="S335" s="4">
        <f t="shared" si="271"/>
        <v>1.568096582532845</v>
      </c>
      <c r="T335" s="4" t="str">
        <f t="shared" si="259"/>
        <v>1+4,64675604613228i</v>
      </c>
      <c r="U335" s="4">
        <f t="shared" si="272"/>
        <v>4.7531401990964772</v>
      </c>
      <c r="V335" s="4">
        <f t="shared" si="273"/>
        <v>1.3588252886155254</v>
      </c>
      <c r="W335" t="str">
        <f t="shared" si="260"/>
        <v>1-0,369820336564081i</v>
      </c>
      <c r="X335" s="4">
        <f t="shared" si="274"/>
        <v>1.066192797450991</v>
      </c>
      <c r="Y335" s="4">
        <f t="shared" si="275"/>
        <v>-0.35422188065030452</v>
      </c>
      <c r="Z335" t="str">
        <f t="shared" si="261"/>
        <v>0,99912489535042+0,0508103231212595i</v>
      </c>
      <c r="AA335" s="4">
        <f t="shared" si="276"/>
        <v>1.0004160361792862</v>
      </c>
      <c r="AB335" s="4">
        <f t="shared" si="277"/>
        <v>5.0811053842057891E-2</v>
      </c>
      <c r="AC335" s="47" t="str">
        <f t="shared" si="278"/>
        <v>0,610543791205467-0,430644025267748i</v>
      </c>
      <c r="AD335" s="20">
        <f t="shared" si="279"/>
        <v>-2.5319616555513607</v>
      </c>
      <c r="AE335" s="43">
        <f t="shared" si="280"/>
        <v>-35.197039624915412</v>
      </c>
      <c r="AF335" t="str">
        <f t="shared" si="262"/>
        <v>171,265703090588</v>
      </c>
      <c r="AG335" t="str">
        <f t="shared" si="263"/>
        <v>1+366,859776385183i</v>
      </c>
      <c r="AH335">
        <f t="shared" si="281"/>
        <v>366.86113930121633</v>
      </c>
      <c r="AI335">
        <f t="shared" si="282"/>
        <v>1.5680704964159571</v>
      </c>
      <c r="AJ335" t="str">
        <f t="shared" si="264"/>
        <v>1+4,64675604613228i</v>
      </c>
      <c r="AK335">
        <f t="shared" si="283"/>
        <v>4.7531401990964772</v>
      </c>
      <c r="AL335">
        <f t="shared" si="284"/>
        <v>1.3588252886155254</v>
      </c>
      <c r="AM335" t="str">
        <f t="shared" si="265"/>
        <v>1-0,116839019862303i</v>
      </c>
      <c r="AN335">
        <f t="shared" si="285"/>
        <v>1.0068025409991692</v>
      </c>
      <c r="AO335">
        <f t="shared" si="286"/>
        <v>-0.11631166228413659</v>
      </c>
      <c r="AP335" s="41" t="str">
        <f t="shared" si="287"/>
        <v>2,11670509078493-0,714531832584447i</v>
      </c>
      <c r="AQ335">
        <f t="shared" si="288"/>
        <v>6.9818723756513528</v>
      </c>
      <c r="AR335" s="43">
        <f t="shared" si="289"/>
        <v>-18.653034647334646</v>
      </c>
      <c r="AS335" t="str">
        <f t="shared" si="266"/>
        <v>-0,0000166666666666667</v>
      </c>
      <c r="AT335" t="str">
        <f t="shared" si="267"/>
        <v>0,000307986990737648i</v>
      </c>
      <c r="AU335">
        <f t="shared" si="290"/>
        <v>3.0798699073764801E-4</v>
      </c>
      <c r="AV335">
        <f t="shared" si="291"/>
        <v>1.5707963267948966</v>
      </c>
      <c r="AW335" t="str">
        <f t="shared" si="268"/>
        <v>1+0,103647618264966i</v>
      </c>
      <c r="AX335">
        <f t="shared" si="292"/>
        <v>1.0053570653116235</v>
      </c>
      <c r="AY335">
        <f t="shared" si="293"/>
        <v>0.10327883621468188</v>
      </c>
      <c r="AZ335" t="str">
        <f t="shared" si="269"/>
        <v>1+24,5348719235785i</v>
      </c>
      <c r="BA335">
        <f t="shared" si="294"/>
        <v>24.555242623651687</v>
      </c>
      <c r="BB335">
        <f t="shared" si="295"/>
        <v>1.5300605606699298</v>
      </c>
      <c r="BC335" s="41" t="str">
        <f t="shared" si="296"/>
        <v>-1,30803974260964+0,189690043725249i</v>
      </c>
      <c r="BD335">
        <f t="shared" si="297"/>
        <v>2.4228054492400868</v>
      </c>
      <c r="BE335" s="43">
        <f t="shared" si="298"/>
        <v>171.74857109768325</v>
      </c>
      <c r="BF335" s="41" t="str">
        <f t="shared" si="299"/>
        <v>-0,716926659517257+0,679113578417549i</v>
      </c>
      <c r="BG335" s="20">
        <f t="shared" si="300"/>
        <v>-0.10915620631126889</v>
      </c>
      <c r="BH335" s="43">
        <f t="shared" si="301"/>
        <v>136.55153147276786</v>
      </c>
      <c r="BI335" s="41" t="str">
        <f t="shared" si="306"/>
        <v>-2,63319480756481+1,3361539156046i</v>
      </c>
      <c r="BJ335" s="20">
        <f t="shared" si="302"/>
        <v>9.4046778248914382</v>
      </c>
      <c r="BK335" s="43">
        <f t="shared" si="307"/>
        <v>153.0955364503487</v>
      </c>
      <c r="BL335">
        <f t="shared" si="303"/>
        <v>-0.10915620631126889</v>
      </c>
      <c r="BM335" s="43">
        <f t="shared" si="304"/>
        <v>136.55153147276786</v>
      </c>
    </row>
    <row r="336" spans="14:65" x14ac:dyDescent="0.25">
      <c r="N336" s="9">
        <v>18</v>
      </c>
      <c r="O336" s="34">
        <f t="shared" si="308"/>
        <v>15135.612484362096</v>
      </c>
      <c r="P336" s="33" t="str">
        <f t="shared" si="257"/>
        <v>54,631621870174</v>
      </c>
      <c r="Q336" s="4" t="str">
        <f t="shared" si="258"/>
        <v>1+379,032384856691i</v>
      </c>
      <c r="R336" s="4">
        <f t="shared" si="270"/>
        <v>379.03370400289037</v>
      </c>
      <c r="S336" s="4">
        <f t="shared" si="271"/>
        <v>1.5681580359264682</v>
      </c>
      <c r="T336" s="4" t="str">
        <f t="shared" si="259"/>
        <v>1+4,75499289884539i</v>
      </c>
      <c r="U336" s="4">
        <f t="shared" si="272"/>
        <v>4.8590078686981029</v>
      </c>
      <c r="V336" s="4">
        <f t="shared" si="273"/>
        <v>1.3635117875041582</v>
      </c>
      <c r="W336" t="str">
        <f t="shared" si="260"/>
        <v>1-0,378434558808934i</v>
      </c>
      <c r="X336" s="4">
        <f t="shared" si="274"/>
        <v>1.0692112584989519</v>
      </c>
      <c r="Y336" s="4">
        <f t="shared" si="275"/>
        <v>-0.36177838502103188</v>
      </c>
      <c r="Z336" t="str">
        <f t="shared" si="261"/>
        <v>0,999083652938893+0,0519938475855056i</v>
      </c>
      <c r="AA336" s="4">
        <f t="shared" si="276"/>
        <v>1.0004356579792961</v>
      </c>
      <c r="AB336" s="4">
        <f t="shared" si="277"/>
        <v>5.1994630155814604E-2</v>
      </c>
      <c r="AC336" s="47" t="str">
        <f t="shared" si="278"/>
        <v>0,609869709327229-0,43393773433623i</v>
      </c>
      <c r="AD336" s="20">
        <f t="shared" si="279"/>
        <v>-2.5162354586396911</v>
      </c>
      <c r="AE336" s="43">
        <f t="shared" si="280"/>
        <v>-35.432813773820037</v>
      </c>
      <c r="AF336" t="str">
        <f t="shared" si="262"/>
        <v>171,265703090588</v>
      </c>
      <c r="AG336" t="str">
        <f t="shared" si="263"/>
        <v>1+375,405038324642i</v>
      </c>
      <c r="AH336">
        <f t="shared" si="281"/>
        <v>375.40637021703026</v>
      </c>
      <c r="AI336">
        <f t="shared" si="282"/>
        <v>1.5681325435936517</v>
      </c>
      <c r="AJ336" t="str">
        <f t="shared" si="264"/>
        <v>1+4,75499289884539i</v>
      </c>
      <c r="AK336">
        <f t="shared" si="283"/>
        <v>4.8590078686981029</v>
      </c>
      <c r="AL336">
        <f t="shared" si="284"/>
        <v>1.3635117875041582</v>
      </c>
      <c r="AM336" t="str">
        <f t="shared" si="265"/>
        <v>1-0,119560550250047i</v>
      </c>
      <c r="AN336">
        <f t="shared" si="285"/>
        <v>1.0071220011379427</v>
      </c>
      <c r="AO336">
        <f t="shared" si="286"/>
        <v>-0.11899569201931635</v>
      </c>
      <c r="AP336" s="41" t="str">
        <f t="shared" si="287"/>
        <v>2,11664852546942-0,709940512606357i</v>
      </c>
      <c r="AQ336">
        <f t="shared" si="288"/>
        <v>6.9759689959066593</v>
      </c>
      <c r="AR336" s="43">
        <f t="shared" si="289"/>
        <v>-18.541856657649166</v>
      </c>
      <c r="AS336" t="str">
        <f t="shared" si="266"/>
        <v>-0,0000166666666666667</v>
      </c>
      <c r="AT336" t="str">
        <f t="shared" si="267"/>
        <v>0,000315160929335473i</v>
      </c>
      <c r="AU336">
        <f t="shared" si="290"/>
        <v>3.1516092933547298E-4</v>
      </c>
      <c r="AV336">
        <f t="shared" si="291"/>
        <v>1.5707963267948966</v>
      </c>
      <c r="AW336" t="str">
        <f t="shared" si="268"/>
        <v>1+0,106061881437131i</v>
      </c>
      <c r="AX336">
        <f t="shared" si="292"/>
        <v>1.0056088318496332</v>
      </c>
      <c r="AY336">
        <f t="shared" si="293"/>
        <v>0.10566684328927677</v>
      </c>
      <c r="AZ336" t="str">
        <f t="shared" si="269"/>
        <v>1+25,1063625059036i</v>
      </c>
      <c r="BA336">
        <f t="shared" si="294"/>
        <v>25.126269883885314</v>
      </c>
      <c r="BB336">
        <f t="shared" si="295"/>
        <v>1.5309868291595314</v>
      </c>
      <c r="BC336" s="41" t="str">
        <f t="shared" si="296"/>
        <v>-1,30738485692762+0,19154673335444i</v>
      </c>
      <c r="BD336">
        <f t="shared" si="297"/>
        <v>2.4203063702908953</v>
      </c>
      <c r="BE336" s="43">
        <f t="shared" si="298"/>
        <v>171.66481964601175</v>
      </c>
      <c r="BF336" s="41" t="str">
        <f t="shared" si="299"/>
        <v>-0,714215067181937+0,68414217331412i</v>
      </c>
      <c r="BG336" s="20">
        <f t="shared" si="300"/>
        <v>-9.5929088348796612E-2</v>
      </c>
      <c r="BH336" s="43">
        <f t="shared" si="301"/>
        <v>136.23200587219173</v>
      </c>
      <c r="BI336" s="41" t="str">
        <f t="shared" si="306"/>
        <v>-2,63128744357117+1,33360258621414i</v>
      </c>
      <c r="BJ336" s="20">
        <f t="shared" si="302"/>
        <v>9.3962753661975444</v>
      </c>
      <c r="BK336" s="43">
        <f t="shared" si="307"/>
        <v>153.12296298836264</v>
      </c>
      <c r="BL336">
        <f t="shared" si="303"/>
        <v>-9.5929088348796612E-2</v>
      </c>
      <c r="BM336" s="43">
        <f t="shared" si="304"/>
        <v>136.23200587219173</v>
      </c>
    </row>
    <row r="337" spans="14:65" x14ac:dyDescent="0.25">
      <c r="N337" s="9">
        <v>19</v>
      </c>
      <c r="O337" s="34">
        <f t="shared" si="308"/>
        <v>15488.166189124853</v>
      </c>
      <c r="P337" s="33" t="str">
        <f t="shared" si="257"/>
        <v>54,631621870174</v>
      </c>
      <c r="Q337" s="4" t="str">
        <f t="shared" si="258"/>
        <v>1+387,861183271314i</v>
      </c>
      <c r="R337" s="4">
        <f t="shared" si="270"/>
        <v>387.86247239018093</v>
      </c>
      <c r="S337" s="4">
        <f t="shared" si="271"/>
        <v>1.5682180904893264</v>
      </c>
      <c r="T337" s="4" t="str">
        <f t="shared" si="259"/>
        <v>1+4,86575091173324i</v>
      </c>
      <c r="U337" s="4">
        <f t="shared" si="272"/>
        <v>4.9674472251884927</v>
      </c>
      <c r="V337" s="4">
        <f t="shared" si="273"/>
        <v>1.3681005524858814</v>
      </c>
      <c r="W337" t="str">
        <f t="shared" si="260"/>
        <v>1-0,387249432066042i</v>
      </c>
      <c r="X337" s="4">
        <f t="shared" si="274"/>
        <v>1.0723628689186659</v>
      </c>
      <c r="Y337" s="4">
        <f t="shared" si="275"/>
        <v>-0.36946641484601789</v>
      </c>
      <c r="Z337" t="str">
        <f t="shared" si="261"/>
        <v>0,999040466832392+0,0532049398759616i</v>
      </c>
      <c r="AA337" s="4">
        <f t="shared" si="276"/>
        <v>1.0004562059360163</v>
      </c>
      <c r="AB337" s="4">
        <f t="shared" si="277"/>
        <v>5.3205777953881539E-2</v>
      </c>
      <c r="AC337" s="47" t="str">
        <f t="shared" si="278"/>
        <v>0,609165544241609-0,43745943344123i</v>
      </c>
      <c r="AD337" s="20">
        <f t="shared" si="279"/>
        <v>-2.499134410849924</v>
      </c>
      <c r="AE337" s="43">
        <f t="shared" si="280"/>
        <v>-35.683223099120291</v>
      </c>
      <c r="AF337" t="str">
        <f t="shared" si="262"/>
        <v>171,265703090588</v>
      </c>
      <c r="AG337" t="str">
        <f t="shared" si="263"/>
        <v>1+384,149344984495i</v>
      </c>
      <c r="AH337">
        <f t="shared" si="281"/>
        <v>384.15064655941495</v>
      </c>
      <c r="AI337">
        <f t="shared" si="282"/>
        <v>1.568193178424969</v>
      </c>
      <c r="AJ337" t="str">
        <f t="shared" si="264"/>
        <v>1+4,86575091173324i</v>
      </c>
      <c r="AK337">
        <f t="shared" si="283"/>
        <v>4.9674472251884927</v>
      </c>
      <c r="AL337">
        <f t="shared" si="284"/>
        <v>1.3681005524858814</v>
      </c>
      <c r="AM337" t="str">
        <f t="shared" si="265"/>
        <v>1-0,122345473224104i</v>
      </c>
      <c r="AN337">
        <f t="shared" si="285"/>
        <v>1.0074564083961299</v>
      </c>
      <c r="AO337">
        <f t="shared" si="286"/>
        <v>-0.12174045840220564</v>
      </c>
      <c r="AP337" s="41" t="str">
        <f t="shared" si="287"/>
        <v>2,11659450597715-0,705725598918457i</v>
      </c>
      <c r="AQ337">
        <f t="shared" si="288"/>
        <v>6.97056717710299</v>
      </c>
      <c r="AR337" s="43">
        <f t="shared" si="289"/>
        <v>-18.439677440433968</v>
      </c>
      <c r="AS337" t="str">
        <f t="shared" si="266"/>
        <v>-0,0000166666666666667</v>
      </c>
      <c r="AT337" t="str">
        <f t="shared" si="267"/>
        <v>0,00032250197042968i</v>
      </c>
      <c r="AU337">
        <f t="shared" si="290"/>
        <v>3.2250197042968002E-4</v>
      </c>
      <c r="AV337">
        <f t="shared" si="291"/>
        <v>1.5707963267948966</v>
      </c>
      <c r="AW337" t="str">
        <f t="shared" si="268"/>
        <v>1+0,108532380022728i</v>
      </c>
      <c r="AX337">
        <f t="shared" si="292"/>
        <v>1.0058723962379115</v>
      </c>
      <c r="AY337">
        <f t="shared" si="293"/>
        <v>0.10810922237436817</v>
      </c>
      <c r="AZ337" t="str">
        <f t="shared" si="269"/>
        <v>1+25,6911648139515i</v>
      </c>
      <c r="BA337">
        <f t="shared" si="294"/>
        <v>25.710619391559192</v>
      </c>
      <c r="BB337">
        <f t="shared" si="295"/>
        <v>1.5318920792517561</v>
      </c>
      <c r="BC337" s="41" t="str">
        <f t="shared" si="296"/>
        <v>-1,3066998099039+0,193498511154342i</v>
      </c>
      <c r="BD337">
        <f t="shared" si="297"/>
        <v>2.4177205268654167</v>
      </c>
      <c r="BE337" s="43">
        <f t="shared" si="298"/>
        <v>171.57674864215326</v>
      </c>
      <c r="BF337" s="41" t="str">
        <f t="shared" si="299"/>
        <v>-0,711348751799216+0,689500784375599i</v>
      </c>
      <c r="BG337" s="20">
        <f t="shared" si="300"/>
        <v>-8.1413883984507593E-2</v>
      </c>
      <c r="BH337" s="43">
        <f t="shared" si="301"/>
        <v>135.89352554303295</v>
      </c>
      <c r="BI337" s="41" t="str">
        <f t="shared" si="306"/>
        <v>-2,62919678592975+1,3317293915751i</v>
      </c>
      <c r="BJ337" s="20">
        <f t="shared" si="302"/>
        <v>9.388287703968393</v>
      </c>
      <c r="BK337" s="43">
        <f t="shared" si="307"/>
        <v>153.13707120171932</v>
      </c>
      <c r="BL337">
        <f t="shared" si="303"/>
        <v>-8.1413883984507593E-2</v>
      </c>
      <c r="BM337" s="43">
        <f t="shared" si="304"/>
        <v>135.89352554303295</v>
      </c>
    </row>
    <row r="338" spans="14:65" x14ac:dyDescent="0.25">
      <c r="N338" s="9">
        <v>20</v>
      </c>
      <c r="O338" s="34">
        <f t="shared" si="308"/>
        <v>15848.931924611146</v>
      </c>
      <c r="P338" s="33" t="str">
        <f t="shared" si="257"/>
        <v>54,631621870174</v>
      </c>
      <c r="Q338" s="4" t="str">
        <f t="shared" si="258"/>
        <v>1+396,895630819256i</v>
      </c>
      <c r="R338" s="4">
        <f t="shared" si="270"/>
        <v>396.89689059428918</v>
      </c>
      <c r="S338" s="4">
        <f t="shared" si="271"/>
        <v>1.5682767780614097</v>
      </c>
      <c r="T338" s="4" t="str">
        <f t="shared" si="259"/>
        <v>1+4,97908881016031i</v>
      </c>
      <c r="U338" s="4">
        <f t="shared" si="272"/>
        <v>5.0785160607665327</v>
      </c>
      <c r="V338" s="4">
        <f t="shared" si="273"/>
        <v>1.3725932432256578</v>
      </c>
      <c r="W338" t="str">
        <f t="shared" si="260"/>
        <v>1-0,396269630097882i</v>
      </c>
      <c r="X338" s="4">
        <f t="shared" si="274"/>
        <v>1.075653113107526</v>
      </c>
      <c r="Y338" s="4">
        <f t="shared" si="275"/>
        <v>-0.37728641014955849</v>
      </c>
      <c r="Z338" t="str">
        <f t="shared" si="261"/>
        <v>0,998995245427396+0,0544442421297903i</v>
      </c>
      <c r="AA338" s="4">
        <f t="shared" si="276"/>
        <v>1.0004777238337845</v>
      </c>
      <c r="AB338" s="4">
        <f t="shared" si="277"/>
        <v>5.4445139628932528E-2</v>
      </c>
      <c r="AC338" s="47" t="str">
        <f t="shared" si="278"/>
        <v>0,608429809817182-0,441210841095469i</v>
      </c>
      <c r="AD338" s="20">
        <f t="shared" si="279"/>
        <v>-2.4806391464302502</v>
      </c>
      <c r="AE338" s="43">
        <f t="shared" si="280"/>
        <v>-35.948236351239558</v>
      </c>
      <c r="AF338" t="str">
        <f t="shared" si="262"/>
        <v>171,265703090588</v>
      </c>
      <c r="AG338" t="str">
        <f t="shared" si="263"/>
        <v>1+393,097332711875i</v>
      </c>
      <c r="AH338">
        <f t="shared" si="281"/>
        <v>393.09860465942967</v>
      </c>
      <c r="AI338">
        <f t="shared" si="282"/>
        <v>1.5682524330575147</v>
      </c>
      <c r="AJ338" t="str">
        <f t="shared" si="264"/>
        <v>1+4,97908881016031i</v>
      </c>
      <c r="AK338">
        <f t="shared" si="283"/>
        <v>5.0785160607665327</v>
      </c>
      <c r="AL338">
        <f t="shared" si="284"/>
        <v>1.3725932432256578</v>
      </c>
      <c r="AM338" t="str">
        <f t="shared" si="265"/>
        <v>1-0,125195265387498i</v>
      </c>
      <c r="AN338">
        <f t="shared" si="285"/>
        <v>1.0078064568534209</v>
      </c>
      <c r="AO338">
        <f t="shared" si="286"/>
        <v>-0.12454725122856597</v>
      </c>
      <c r="AP338" s="41" t="str">
        <f t="shared" si="287"/>
        <v>2,11654291773034-0,701884857623235i</v>
      </c>
      <c r="AQ338">
        <f t="shared" si="288"/>
        <v>6.9656573252043295</v>
      </c>
      <c r="AR338" s="43">
        <f t="shared" si="289"/>
        <v>-18.346477645666774</v>
      </c>
      <c r="AS338" t="str">
        <f t="shared" si="266"/>
        <v>-0,0000166666666666667</v>
      </c>
      <c r="AT338" t="str">
        <f t="shared" si="267"/>
        <v>0,000330014006337425i</v>
      </c>
      <c r="AU338">
        <f t="shared" si="290"/>
        <v>3.30014006337425E-4</v>
      </c>
      <c r="AV338">
        <f t="shared" si="291"/>
        <v>1.5707963267948966</v>
      </c>
      <c r="AW338" t="str">
        <f t="shared" si="268"/>
        <v>1+0,111060423912809i</v>
      </c>
      <c r="AX338">
        <f t="shared" si="292"/>
        <v>1.0061483080340059</v>
      </c>
      <c r="AY338">
        <f t="shared" si="293"/>
        <v>0.11060715183365283</v>
      </c>
      <c r="AZ338" t="str">
        <f t="shared" si="269"/>
        <v>1+26,2895889176464i</v>
      </c>
      <c r="BA338">
        <f t="shared" si="294"/>
        <v>26.308600978745272</v>
      </c>
      <c r="BB338">
        <f t="shared" si="295"/>
        <v>1.5327767849841412</v>
      </c>
      <c r="BC338" s="41" t="str">
        <f t="shared" si="296"/>
        <v>-1,30598324664024+0,195545959982499i</v>
      </c>
      <c r="BD338">
        <f t="shared" si="297"/>
        <v>2.4150426008311019</v>
      </c>
      <c r="BE338" s="43">
        <f t="shared" si="298"/>
        <v>171.48431773119154</v>
      </c>
      <c r="BF338" s="41" t="str">
        <f t="shared" si="299"/>
        <v>-0,708322140901048+0,695189957949402i</v>
      </c>
      <c r="BG338" s="20">
        <f t="shared" si="300"/>
        <v>-6.5596545599145226E-2</v>
      </c>
      <c r="BH338" s="43">
        <f t="shared" si="301"/>
        <v>135.53608137995201</v>
      </c>
      <c r="BI338" s="41" t="str">
        <f t="shared" si="306"/>
        <v>-2,62691884306976+1,33053128181815i</v>
      </c>
      <c r="BJ338" s="20">
        <f t="shared" si="302"/>
        <v>9.380699926035426</v>
      </c>
      <c r="BK338" s="43">
        <f t="shared" si="307"/>
        <v>153.13784008552483</v>
      </c>
      <c r="BL338">
        <f t="shared" si="303"/>
        <v>-6.5596545599145226E-2</v>
      </c>
      <c r="BM338" s="43">
        <f t="shared" si="304"/>
        <v>135.53608137995201</v>
      </c>
    </row>
    <row r="339" spans="14:65" x14ac:dyDescent="0.25">
      <c r="N339" s="9">
        <v>21</v>
      </c>
      <c r="O339" s="34">
        <f t="shared" si="308"/>
        <v>16218.100973589309</v>
      </c>
      <c r="P339" s="33" t="str">
        <f t="shared" ref="P339:P402" si="309">COMPLEX(Adc,0)</f>
        <v>54,631621870174</v>
      </c>
      <c r="Q339" s="4" t="str">
        <f t="shared" ref="Q339:Q402" si="310">IMSUM(COMPLEX(1,0),IMDIV(COMPLEX(0,2*PI()*O339),COMPLEX(wp_lf,0)))</f>
        <v>1+406,140517684193i</v>
      </c>
      <c r="R339" s="4">
        <f t="shared" si="270"/>
        <v>406.14174878333336</v>
      </c>
      <c r="S339" s="4">
        <f t="shared" si="271"/>
        <v>1.5683341297580278</v>
      </c>
      <c r="T339" s="4" t="str">
        <f t="shared" ref="T339:T402" si="311">IMSUM(COMPLEX(1,0),IMDIV(COMPLEX(0,2*PI()*O339),COMPLEX(wz_esr,0)))</f>
        <v>1+5,09506668738055i</v>
      </c>
      <c r="U339" s="4">
        <f t="shared" si="272"/>
        <v>5.1922735433386995</v>
      </c>
      <c r="V339" s="4">
        <f t="shared" si="273"/>
        <v>1.376991516010619</v>
      </c>
      <c r="W339" t="str">
        <f t="shared" ref="W339:W402" si="312">IMSUB(COMPLEX(1,0),IMDIV(COMPLEX(0,2*PI()*O339),COMPLEX(wz_rhp,0)))</f>
        <v>1-0,405499935532848i</v>
      </c>
      <c r="X339" s="4">
        <f t="shared" si="274"/>
        <v>1.0790876691525781</v>
      </c>
      <c r="Y339" s="4">
        <f t="shared" si="275"/>
        <v>-0.38523869048199555</v>
      </c>
      <c r="Z339" t="str">
        <f t="shared" ref="Z339:Z402" si="313">IMSUM(COMPLEX(1,0),IMDIV(COMPLEX(0,2*PI()*O339),COMPLEX(Q*(wsl/2),0)),IMDIV(IMPOWER(COMPLEX(0,2*PI()*O339),2),IMPOWER(COMPLEX(wsl/2,0),2)))</f>
        <v>0,998947892803242+0,0557124114414509i</v>
      </c>
      <c r="AA339" s="4">
        <f t="shared" si="276"/>
        <v>1.0005002575335296</v>
      </c>
      <c r="AB339" s="4">
        <f t="shared" si="277"/>
        <v>5.5713372548466658E-2</v>
      </c>
      <c r="AC339" s="47" t="str">
        <f t="shared" si="278"/>
        <v>0,60766095368298-0,445193786944155i</v>
      </c>
      <c r="AD339" s="20">
        <f t="shared" si="279"/>
        <v>-2.4607290281614902</v>
      </c>
      <c r="AE339" s="43">
        <f t="shared" si="280"/>
        <v>-36.22781638796048</v>
      </c>
      <c r="AF339" t="str">
        <f t="shared" ref="AF339:AF402" si="314">COMPLEX($B$72,0)</f>
        <v>171,265703090588</v>
      </c>
      <c r="AG339" t="str">
        <f t="shared" ref="AG339:AG402" si="315">IMSUM(COMPLEX(1,0),IMDIV(COMPLEX(0,2*PI()*O339),COMPLEX(wp_lf_DCM,0)))</f>
        <v>1+402,253745848316i</v>
      </c>
      <c r="AH339">
        <f t="shared" si="281"/>
        <v>402.25498884290005</v>
      </c>
      <c r="AI339">
        <f t="shared" si="282"/>
        <v>1.5683103389072139</v>
      </c>
      <c r="AJ339" t="str">
        <f t="shared" ref="AJ339:AJ402" si="316">IMSUM(COMPLEX(1,0),IMDIV(COMPLEX(0,2*PI()*O339),COMPLEX(wz1_dcm,0)))</f>
        <v>1+5,09506668738055i</v>
      </c>
      <c r="AK339">
        <f t="shared" si="283"/>
        <v>5.1922735433386995</v>
      </c>
      <c r="AL339">
        <f t="shared" si="284"/>
        <v>1.376991516010619</v>
      </c>
      <c r="AM339" t="str">
        <f t="shared" ref="AM339:AM402" si="317">IMSUB(COMPLEX(1,0),IMDIV(COMPLEX(0,2*PI()*O339),COMPLEX(wz2_dcm,0)))</f>
        <v>1-0,128111437737755i</v>
      </c>
      <c r="AN339">
        <f t="shared" si="285"/>
        <v>1.0081728723186487</v>
      </c>
      <c r="AO339">
        <f t="shared" si="286"/>
        <v>-0.12741738170521055</v>
      </c>
      <c r="AP339" s="41" t="str">
        <f t="shared" si="287"/>
        <v>2,11649365130773-0,698416253153886i</v>
      </c>
      <c r="AQ339">
        <f t="shared" si="288"/>
        <v>6.9612306874936269</v>
      </c>
      <c r="AR339" s="43">
        <f t="shared" si="289"/>
        <v>-18.262239301701769</v>
      </c>
      <c r="AS339" t="str">
        <f t="shared" ref="AS339:AS402" si="318">COMPLEX(Adc_ea,0)</f>
        <v>-0,0000166666666666667</v>
      </c>
      <c r="AT339" t="str">
        <f t="shared" ref="AT339:AT402" si="319">COMPLEX(0,2*PI()*O339*wp0_ea)</f>
        <v>0,000337701020039584i</v>
      </c>
      <c r="AU339">
        <f t="shared" si="290"/>
        <v>3.3770102003958402E-4</v>
      </c>
      <c r="AV339">
        <f t="shared" si="291"/>
        <v>1.5707963267948966</v>
      </c>
      <c r="AW339" t="str">
        <f t="shared" ref="AW339:AW402" si="320">IMSUM(COMPLEX(1,0),IMDIV(COMPLEX(0,2*PI()*O339),COMPLEX(wp1_ea,0)))</f>
        <v>1+0,113647353509707i</v>
      </c>
      <c r="AX339">
        <f t="shared" si="292"/>
        <v>1.006437142080796</v>
      </c>
      <c r="AY339">
        <f t="shared" si="293"/>
        <v>0.11316183134497697</v>
      </c>
      <c r="AZ339" t="str">
        <f t="shared" ref="AZ339:AZ402" si="321">IMSUM(COMPLEX(1,0),IMDIV(COMPLEX(0,2*PI()*O339),COMPLEX(wz_ea,0)))</f>
        <v>1+26,9019521093693i</v>
      </c>
      <c r="BA339">
        <f t="shared" si="294"/>
        <v>26.920531705276542</v>
      </c>
      <c r="BB339">
        <f t="shared" si="295"/>
        <v>1.5336414098965123</v>
      </c>
      <c r="BC339" s="41" t="str">
        <f t="shared" si="296"/>
        <v>-1,3052337546294+0,197689682399929i</v>
      </c>
      <c r="BD339">
        <f t="shared" si="297"/>
        <v>2.4122670940088211</v>
      </c>
      <c r="BE339" s="43">
        <f t="shared" si="298"/>
        <v>171.38748473552485</v>
      </c>
      <c r="BF339" s="41" t="str">
        <f t="shared" si="299"/>
        <v>-0,705129369769906+0,701210259011227i</v>
      </c>
      <c r="BG339" s="20">
        <f t="shared" si="300"/>
        <v>-4.8461934152669597E-2</v>
      </c>
      <c r="BH339" s="43">
        <f t="shared" si="301"/>
        <v>135.15966834756435</v>
      </c>
      <c r="BI339" s="41" t="str">
        <f t="shared" si="306"/>
        <v>-2,62444926787674+1,33000542612674i</v>
      </c>
      <c r="BJ339" s="20">
        <f t="shared" si="302"/>
        <v>9.3734977815024649</v>
      </c>
      <c r="BK339" s="43">
        <f t="shared" si="307"/>
        <v>153.12524543382304</v>
      </c>
      <c r="BL339">
        <f t="shared" si="303"/>
        <v>-4.8461934152669597E-2</v>
      </c>
      <c r="BM339" s="43">
        <f t="shared" si="304"/>
        <v>135.15966834756435</v>
      </c>
    </row>
    <row r="340" spans="14:65" x14ac:dyDescent="0.25">
      <c r="N340" s="9">
        <v>22</v>
      </c>
      <c r="O340" s="34">
        <f t="shared" si="308"/>
        <v>16595.869074375616</v>
      </c>
      <c r="P340" s="33" t="str">
        <f t="shared" si="309"/>
        <v>54,631621870174</v>
      </c>
      <c r="Q340" s="4" t="str">
        <f t="shared" si="310"/>
        <v>1+415,600745627514i</v>
      </c>
      <c r="R340" s="4">
        <f t="shared" ref="R340:R403" si="322">IMABS(Q340)</f>
        <v>415.60194870349869</v>
      </c>
      <c r="S340" s="4">
        <f t="shared" ref="S340:S403" si="323">IMARGUMENT(Q340)</f>
        <v>1.5683901759862993</v>
      </c>
      <c r="T340" s="4" t="str">
        <f t="shared" si="311"/>
        <v>1+5,21374603639965i</v>
      </c>
      <c r="U340" s="4">
        <f t="shared" ref="U340:U403" si="324">IMABS(T340)</f>
        <v>5.3087802489906339</v>
      </c>
      <c r="V340" s="4">
        <f t="shared" ref="V340:V403" si="325">IMARGUMENT(T340)</f>
        <v>1.381297021868279</v>
      </c>
      <c r="W340" t="str">
        <f t="shared" si="312"/>
        <v>1-0,414945242401062i</v>
      </c>
      <c r="X340" s="4">
        <f t="shared" ref="X340:X403" si="326">IMABS(W340)</f>
        <v>1.0826724131477978</v>
      </c>
      <c r="Y340" s="4">
        <f t="shared" ref="Y340:Y403" si="327">IMARGUMENT(W340)</f>
        <v>-0.39332344807021113</v>
      </c>
      <c r="Z340" t="str">
        <f t="shared" si="313"/>
        <v>0,998898308518665+0,0570101202110989i</v>
      </c>
      <c r="AA340" s="4">
        <f t="shared" ref="AA340:AA403" si="328">IMABS(Z340)</f>
        <v>1.0005238550718989</v>
      </c>
      <c r="AB340" s="4">
        <f t="shared" ref="AB340:AB403" si="329">IMARGUMENT(Z340)</f>
        <v>5.7011149404370916E-2</v>
      </c>
      <c r="AC340" s="47" t="str">
        <f t="shared" ref="AC340:AC403" si="330">(IMDIV(IMPRODUCT(P340,T340,W340),IMPRODUCT(Q340,Z340)))</f>
        <v>0,606857354005514-0,449410211976903i</v>
      </c>
      <c r="AD340" s="20">
        <f t="shared" ref="AD340:AD403" si="331">20*LOG(IMABS(AC340))</f>
        <v>-2.4393821946051424</v>
      </c>
      <c r="AE340" s="43">
        <f t="shared" ref="AE340:AE403" si="332">(180/PI())*IMARGUMENT(AC340)</f>
        <v>-36.521919910769547</v>
      </c>
      <c r="AF340" t="str">
        <f t="shared" si="314"/>
        <v>171,265703090588</v>
      </c>
      <c r="AG340" t="str">
        <f t="shared" si="315"/>
        <v>1+411,623439245267i</v>
      </c>
      <c r="AH340">
        <f t="shared" ref="AH340:AH403" si="333">IMABS(AG340)</f>
        <v>411.62465394592436</v>
      </c>
      <c r="AI340">
        <f t="shared" ref="AI340:AI403" si="334">IMARGUMENT(AG340)</f>
        <v>1.5683669266749607</v>
      </c>
      <c r="AJ340" t="str">
        <f t="shared" si="316"/>
        <v>1+5,21374603639965i</v>
      </c>
      <c r="AK340">
        <f t="shared" ref="AK340:AK403" si="335">IMABS(AJ340)</f>
        <v>5.3087802489906339</v>
      </c>
      <c r="AL340">
        <f t="shared" ref="AL340:AL403" si="336">IMARGUMENT(AJ340)</f>
        <v>1.381297021868279</v>
      </c>
      <c r="AM340" t="str">
        <f t="shared" si="317"/>
        <v>1-0,131095536468058i</v>
      </c>
      <c r="AN340">
        <f t="shared" ref="AN340:AN403" si="337">IMABS(AM340)</f>
        <v>1.0085564137329392</v>
      </c>
      <c r="AO340">
        <f t="shared" ref="AO340:AO403" si="338">IMARGUMENT(AM340)</f>
        <v>-0.13035218236742627</v>
      </c>
      <c r="AP340" s="41" t="str">
        <f t="shared" ref="AP340:AP403" si="339">(IMDIV(IMPRODUCT(AF340,AJ340,AM340),IMPRODUCT(AG340)))</f>
        <v>2,11644660221261-0,695317947199078i</v>
      </c>
      <c r="AQ340">
        <f t="shared" ref="AQ340:AQ403" si="340">20*LOG(IMABS(AP340))</f>
        <v>6.9572793461161329</v>
      </c>
      <c r="AR340" s="43">
        <f t="shared" ref="AR340:AR403" si="341">(180/PI())*IMARGUMENT(AP340)</f>
        <v>-18.186945919310045</v>
      </c>
      <c r="AS340" t="str">
        <f t="shared" si="318"/>
        <v>-0,0000166666666666667</v>
      </c>
      <c r="AT340" t="str">
        <f t="shared" si="319"/>
        <v>0,000345567087292569i</v>
      </c>
      <c r="AU340">
        <f t="shared" ref="AU340:AU403" si="342">IMABS(AT340)</f>
        <v>3.4556708729256903E-4</v>
      </c>
      <c r="AV340">
        <f t="shared" ref="AV340:AV403" si="343">IMARGUMENT(AT340)</f>
        <v>1.5707963267948966</v>
      </c>
      <c r="AW340" t="str">
        <f t="shared" si="320"/>
        <v>1+0,116294540437737i</v>
      </c>
      <c r="AX340">
        <f t="shared" ref="AX340:AX403" si="344">IMABS(AW340)</f>
        <v>1.0067394996401127</v>
      </c>
      <c r="AY340">
        <f t="shared" ref="AY340:AY403" si="345">IMARGUMENT(AW340)</f>
        <v>0.11577448197833559</v>
      </c>
      <c r="AZ340" t="str">
        <f t="shared" si="321"/>
        <v>1+27,5285790721901i</v>
      </c>
      <c r="BA340">
        <f t="shared" ref="BA340:BA403" si="346">IMABS(AZ340)</f>
        <v>27.546736026865737</v>
      </c>
      <c r="BB340">
        <f t="shared" ref="BB340:BB403" si="347">IMARGUMENT(AZ340)</f>
        <v>1.5344864072505071</v>
      </c>
      <c r="BC340" s="41" t="str">
        <f t="shared" ref="BC340:BC403" si="348">IMPRODUCT(AS340,IMDIV(AZ340,IMPRODUCT(AT340,AW340)))</f>
        <v>-1,30444986161709+0,199930298926525i</v>
      </c>
      <c r="BD340">
        <f t="shared" ref="BD340:BD403" si="349">20*LOG(IMABS(BC340))</f>
        <v>2.4093883179957891</v>
      </c>
      <c r="BE340" s="43">
        <f t="shared" ref="BE340:BE403" si="350">(180/PI())*IMARGUMENT(BC340)</f>
        <v>171.28620566297482</v>
      </c>
      <c r="BF340" s="41" t="str">
        <f t="shared" ref="BF340:BF403" si="351">IMPRODUCT(AC340,BC340)</f>
        <v>-0,701764273432631+0,707562261014661i</v>
      </c>
      <c r="BG340" s="20">
        <f t="shared" ref="BG340:BG403" si="352">20*LOG(IMABS(BF340))</f>
        <v>-2.9993876609351489E-2</v>
      </c>
      <c r="BH340" s="43">
        <f t="shared" ref="BH340:BH403" si="353">(180/PI())*IMARGUMENT(BF340)</f>
        <v>134.7642857522053</v>
      </c>
      <c r="BI340" s="41" t="str">
        <f t="shared" si="306"/>
        <v>-2,62178335234371+1,33014920184611i</v>
      </c>
      <c r="BJ340" s="20">
        <f t="shared" ref="BJ340:BJ403" si="354">20*LOG(IMABS(BI340))</f>
        <v>9.3666676641119206</v>
      </c>
      <c r="BK340" s="43">
        <f t="shared" si="307"/>
        <v>153.09925974366482</v>
      </c>
      <c r="BL340">
        <f t="shared" ref="BL340:BL403" si="355">IF($B$31=0,BJ340,BG340)</f>
        <v>-2.9993876609351489E-2</v>
      </c>
      <c r="BM340" s="43">
        <f t="shared" ref="BM340:BM403" si="356">IF($B$31=0,BK340,BH340)</f>
        <v>134.7642857522053</v>
      </c>
    </row>
    <row r="341" spans="14:65" x14ac:dyDescent="0.25">
      <c r="N341" s="9">
        <v>23</v>
      </c>
      <c r="O341" s="34">
        <f t="shared" si="308"/>
        <v>16982.436524617482</v>
      </c>
      <c r="P341" s="33" t="str">
        <f t="shared" si="309"/>
        <v>54,631621870174</v>
      </c>
      <c r="Q341" s="4" t="str">
        <f t="shared" si="310"/>
        <v>1+425,281330587294i</v>
      </c>
      <c r="R341" s="4">
        <f t="shared" si="322"/>
        <v>425.28250627800253</v>
      </c>
      <c r="S341" s="4">
        <f t="shared" si="323"/>
        <v>1.5684449464612669</v>
      </c>
      <c r="T341" s="4" t="str">
        <f t="shared" si="311"/>
        <v>1+5,33518978257935i</v>
      </c>
      <c r="U341" s="4">
        <f t="shared" si="324"/>
        <v>5.4280981951452469</v>
      </c>
      <c r="V341" s="4">
        <f t="shared" si="325"/>
        <v>1.3855114048248327</v>
      </c>
      <c r="W341" t="str">
        <f t="shared" si="312"/>
        <v>1-0,424610558729248i</v>
      </c>
      <c r="X341" s="4">
        <f t="shared" si="326"/>
        <v>1.0864134234187115</v>
      </c>
      <c r="Y341" s="4">
        <f t="shared" si="327"/>
        <v>-0.4015407409415378</v>
      </c>
      <c r="Z341" t="str">
        <f t="shared" si="313"/>
        <v>0,998846387398749+0,0583380565011013i</v>
      </c>
      <c r="AA341" s="4">
        <f t="shared" si="328"/>
        <v>1.0005485667651806</v>
      </c>
      <c r="AB341" s="4">
        <f t="shared" si="329"/>
        <v>5.8339158570670388E-2</v>
      </c>
      <c r="AC341" s="47" t="str">
        <f t="shared" si="330"/>
        <v>0,606017316125238-0,453862168744519i</v>
      </c>
      <c r="AD341" s="20">
        <f t="shared" si="331"/>
        <v>-2.4165756115325583</v>
      </c>
      <c r="AE341" s="43">
        <f t="shared" si="332"/>
        <v>-36.830497192098328</v>
      </c>
      <c r="AF341" t="str">
        <f t="shared" si="314"/>
        <v>171,265703090588</v>
      </c>
      <c r="AG341" t="str">
        <f t="shared" si="315"/>
        <v>1+421,211380838187i</v>
      </c>
      <c r="AH341">
        <f t="shared" si="333"/>
        <v>421.21256788896056</v>
      </c>
      <c r="AI341">
        <f t="shared" si="334"/>
        <v>1.5684222263628878</v>
      </c>
      <c r="AJ341" t="str">
        <f t="shared" si="316"/>
        <v>1+5,33518978257935i</v>
      </c>
      <c r="AK341">
        <f t="shared" si="335"/>
        <v>5.4280981951452469</v>
      </c>
      <c r="AL341">
        <f t="shared" si="336"/>
        <v>1.3855114048248327</v>
      </c>
      <c r="AM341" t="str">
        <f t="shared" si="317"/>
        <v>1-0,13414914378705i</v>
      </c>
      <c r="AN341">
        <f t="shared" si="337"/>
        <v>1.0089578746304519</v>
      </c>
      <c r="AO341">
        <f t="shared" si="338"/>
        <v>-0.13335300695711358</v>
      </c>
      <c r="AP341" s="41" t="str">
        <f t="shared" si="339"/>
        <v>2,11640167065115-0,692588297732014i</v>
      </c>
      <c r="AQ341">
        <f t="shared" si="340"/>
        <v>6.9537962120554289</v>
      </c>
      <c r="AR341" s="43">
        <f t="shared" si="341"/>
        <v>-18.120582585422486</v>
      </c>
      <c r="AS341" t="str">
        <f t="shared" si="318"/>
        <v>-0,0000166666666666667</v>
      </c>
      <c r="AT341" t="str">
        <f t="shared" si="319"/>
        <v>0,000353616378789358i</v>
      </c>
      <c r="AU341">
        <f t="shared" si="342"/>
        <v>3.5361637878935802E-4</v>
      </c>
      <c r="AV341">
        <f t="shared" si="343"/>
        <v>1.5707963267948966</v>
      </c>
      <c r="AW341" t="str">
        <f t="shared" si="320"/>
        <v>1+0,119003388270448i</v>
      </c>
      <c r="AX341">
        <f t="shared" si="344"/>
        <v>1.0070560095743668</v>
      </c>
      <c r="AY341">
        <f t="shared" si="345"/>
        <v>0.11844634624814494</v>
      </c>
      <c r="AZ341" t="str">
        <f t="shared" si="321"/>
        <v>1+28,169802052019i</v>
      </c>
      <c r="BA341">
        <f t="shared" si="346"/>
        <v>28.187545967145383</v>
      </c>
      <c r="BB341">
        <f t="shared" si="347"/>
        <v>1.5353122202453884</v>
      </c>
      <c r="BC341" s="41" t="str">
        <f t="shared" si="348"/>
        <v>-1,30363003341514+0,202268446176454i</v>
      </c>
      <c r="BD341">
        <f t="shared" si="349"/>
        <v>2.4064003837184629</v>
      </c>
      <c r="BE341" s="43">
        <f t="shared" si="350"/>
        <v>171.18043471615673</v>
      </c>
      <c r="BF341" s="41" t="str">
        <f t="shared" si="351"/>
        <v>-0,698220378420268+0,714246535094962i</v>
      </c>
      <c r="BG341" s="20">
        <f t="shared" si="352"/>
        <v>-1.0175227814095668E-2</v>
      </c>
      <c r="BH341" s="43">
        <f t="shared" si="353"/>
        <v>134.34993752405839</v>
      </c>
      <c r="BI341" s="41" t="str">
        <f t="shared" si="306"/>
        <v>-2,61891602180857+1,33096018312318i</v>
      </c>
      <c r="BJ341" s="20">
        <f t="shared" si="354"/>
        <v>9.3601965957739015</v>
      </c>
      <c r="BK341" s="43">
        <f t="shared" si="307"/>
        <v>153.05985213073427</v>
      </c>
      <c r="BL341">
        <f t="shared" si="355"/>
        <v>-1.0175227814095668E-2</v>
      </c>
      <c r="BM341" s="43">
        <f t="shared" si="356"/>
        <v>134.34993752405839</v>
      </c>
    </row>
    <row r="342" spans="14:65" x14ac:dyDescent="0.25">
      <c r="N342" s="9">
        <v>24</v>
      </c>
      <c r="O342" s="34">
        <f t="shared" si="308"/>
        <v>17378.008287493791</v>
      </c>
      <c r="P342" s="33" t="str">
        <f t="shared" si="309"/>
        <v>54,631621870174</v>
      </c>
      <c r="Q342" s="4" t="str">
        <f t="shared" si="310"/>
        <v>1+435,18740533781i</v>
      </c>
      <c r="R342" s="4">
        <f t="shared" si="322"/>
        <v>435.18855426660213</v>
      </c>
      <c r="S342" s="4">
        <f t="shared" si="323"/>
        <v>1.5684984702216467</v>
      </c>
      <c r="T342" s="4" t="str">
        <f t="shared" si="311"/>
        <v>1+5,4594623170013i</v>
      </c>
      <c r="U342" s="4">
        <f t="shared" si="324"/>
        <v>5.550290874427863</v>
      </c>
      <c r="V342" s="4">
        <f t="shared" si="325"/>
        <v>1.3896363002970631</v>
      </c>
      <c r="W342" t="str">
        <f t="shared" si="312"/>
        <v>1-0,434501009196053i</v>
      </c>
      <c r="X342" s="4">
        <f t="shared" si="326"/>
        <v>1.0903169846390492</v>
      </c>
      <c r="Y342" s="4">
        <f t="shared" si="327"/>
        <v>-0.40989048605330891</v>
      </c>
      <c r="Z342" t="str">
        <f t="shared" si="313"/>
        <v>0,998792019311839+0,0596969244008553i</v>
      </c>
      <c r="AA342" s="4">
        <f t="shared" si="328"/>
        <v>1.0005744453182595</v>
      </c>
      <c r="AB342" s="4">
        <f t="shared" si="329"/>
        <v>5.969810446965769E-2</v>
      </c>
      <c r="AC342" s="47" t="str">
        <f t="shared" si="330"/>
        <v>0,605139069045904-0,458551821576924i</v>
      </c>
      <c r="AD342" s="20">
        <f t="shared" si="331"/>
        <v>-2.3922851276615331</v>
      </c>
      <c r="AE342" s="43">
        <f t="shared" si="332"/>
        <v>-37.153491795693412</v>
      </c>
      <c r="AF342" t="str">
        <f t="shared" si="314"/>
        <v>171,265703090588</v>
      </c>
      <c r="AG342" t="str">
        <f t="shared" si="315"/>
        <v>1+431,022654280614i</v>
      </c>
      <c r="AH342">
        <f t="shared" si="333"/>
        <v>431.02381431088662</v>
      </c>
      <c r="AI342">
        <f t="shared" si="334"/>
        <v>1.5684762672902681</v>
      </c>
      <c r="AJ342" t="str">
        <f t="shared" si="316"/>
        <v>1+5,4594623170013i</v>
      </c>
      <c r="AK342">
        <f t="shared" si="335"/>
        <v>5.550290874427863</v>
      </c>
      <c r="AL342">
        <f t="shared" si="336"/>
        <v>1.3896363002970631</v>
      </c>
      <c r="AM342" t="str">
        <f t="shared" si="317"/>
        <v>1-0,137273878757751i</v>
      </c>
      <c r="AN342">
        <f t="shared" si="337"/>
        <v>1.0093780846586664</v>
      </c>
      <c r="AO342">
        <f t="shared" si="338"/>
        <v>-0.1364212302585775</v>
      </c>
      <c r="AP342" s="41" t="str">
        <f t="shared" si="339"/>
        <v>2,1163587613208-0,690225858143322i</v>
      </c>
      <c r="AQ342">
        <f t="shared" si="340"/>
        <v>6.9507750195931548</v>
      </c>
      <c r="AR342" s="43">
        <f t="shared" si="341"/>
        <v>-18.063136046768488</v>
      </c>
      <c r="AS342" t="str">
        <f t="shared" si="318"/>
        <v>-0,0000166666666666667</v>
      </c>
      <c r="AT342" t="str">
        <f t="shared" si="319"/>
        <v>0,000361853162370846i</v>
      </c>
      <c r="AU342">
        <f t="shared" si="342"/>
        <v>3.6185316237084602E-4</v>
      </c>
      <c r="AV342">
        <f t="shared" si="343"/>
        <v>1.5707963267948966</v>
      </c>
      <c r="AW342" t="str">
        <f t="shared" si="320"/>
        <v>1+0,121775333274815i</v>
      </c>
      <c r="AX342">
        <f t="shared" si="344"/>
        <v>1.0073873295779494</v>
      </c>
      <c r="AY342">
        <f t="shared" si="345"/>
        <v>0.12117868813750085</v>
      </c>
      <c r="AZ342" t="str">
        <f t="shared" si="321"/>
        <v>1+28,8259610337668i</v>
      </c>
      <c r="BA342">
        <f t="shared" si="346"/>
        <v>28.843301293718824</v>
      </c>
      <c r="BB342">
        <f t="shared" si="347"/>
        <v>1.5361192822301446</v>
      </c>
      <c r="BC342" s="41" t="str">
        <f t="shared" si="348"/>
        <v>-1,30277267166815+0,204704774865392i</v>
      </c>
      <c r="BD342">
        <f t="shared" si="349"/>
        <v>2.4032971907061174</v>
      </c>
      <c r="BE342" s="43">
        <f t="shared" si="350"/>
        <v>171.07012430324178</v>
      </c>
      <c r="BF342" s="41" t="str">
        <f t="shared" si="351"/>
        <v>-0,69449089431169+0,721263638585361i</v>
      </c>
      <c r="BG342" s="20">
        <f t="shared" si="352"/>
        <v>1.1012063044586481E-2</v>
      </c>
      <c r="BH342" s="43">
        <f t="shared" si="353"/>
        <v>133.91663250754837</v>
      </c>
      <c r="BI342" s="41" t="str">
        <f t="shared" si="306"/>
        <v>-2,61584182879669+1,33243612903839i</v>
      </c>
      <c r="BJ342" s="20">
        <f t="shared" si="354"/>
        <v>9.3540722102992575</v>
      </c>
      <c r="BK342" s="43">
        <f t="shared" si="307"/>
        <v>153.00698825647328</v>
      </c>
      <c r="BL342">
        <f t="shared" si="355"/>
        <v>1.1012063044586481E-2</v>
      </c>
      <c r="BM342" s="43">
        <f t="shared" si="356"/>
        <v>133.91663250754837</v>
      </c>
    </row>
    <row r="343" spans="14:65" x14ac:dyDescent="0.25">
      <c r="N343" s="9">
        <v>25</v>
      </c>
      <c r="O343" s="34">
        <f t="shared" si="308"/>
        <v>17782.794100389234</v>
      </c>
      <c r="P343" s="33" t="str">
        <f t="shared" si="309"/>
        <v>54,631621870174</v>
      </c>
      <c r="Q343" s="4" t="str">
        <f t="shared" si="310"/>
        <v>1+445,324222211023i</v>
      </c>
      <c r="R343" s="4">
        <f t="shared" si="322"/>
        <v>445.32534498706963</v>
      </c>
      <c r="S343" s="4">
        <f t="shared" si="323"/>
        <v>1.5685507756452171</v>
      </c>
      <c r="T343" s="4" t="str">
        <f t="shared" si="311"/>
        <v>1+5,58662953060825i</v>
      </c>
      <c r="U343" s="4">
        <f t="shared" si="324"/>
        <v>5.6754232892590624</v>
      </c>
      <c r="V343" s="4">
        <f t="shared" si="325"/>
        <v>1.3936733336114511</v>
      </c>
      <c r="W343" t="str">
        <f t="shared" si="312"/>
        <v>1-0,444621837849234i</v>
      </c>
      <c r="X343" s="4">
        <f t="shared" si="326"/>
        <v>1.0943895918238762</v>
      </c>
      <c r="Y343" s="4">
        <f t="shared" si="327"/>
        <v>-0.41837245246320898</v>
      </c>
      <c r="Z343" t="str">
        <f t="shared" si="313"/>
        <v>0,998735088935933+0,0610874444001089i</v>
      </c>
      <c r="AA343" s="4">
        <f t="shared" si="328"/>
        <v>1.0006015459388429</v>
      </c>
      <c r="AB343" s="4">
        <f t="shared" si="329"/>
        <v>6.108870794660453E-2</v>
      </c>
      <c r="AC343" s="47" t="str">
        <f t="shared" si="330"/>
        <v>0,604220761770099-0,463481446798213i</v>
      </c>
      <c r="AD343" s="20">
        <f t="shared" si="331"/>
        <v>-2.3664855348155651</v>
      </c>
      <c r="AE343" s="43">
        <f t="shared" si="332"/>
        <v>-37.490840292505794</v>
      </c>
      <c r="AF343" t="str">
        <f t="shared" si="314"/>
        <v>171,265703090588</v>
      </c>
      <c r="AG343" t="str">
        <f t="shared" si="315"/>
        <v>1+441,0624616396i</v>
      </c>
      <c r="AH343">
        <f t="shared" si="333"/>
        <v>441.0635952644285</v>
      </c>
      <c r="AI343">
        <f t="shared" si="334"/>
        <v>1.5685290781090533</v>
      </c>
      <c r="AJ343" t="str">
        <f t="shared" si="316"/>
        <v>1+5,58662953060825i</v>
      </c>
      <c r="AK343">
        <f t="shared" si="335"/>
        <v>5.6754232892590624</v>
      </c>
      <c r="AL343">
        <f t="shared" si="336"/>
        <v>1.3936733336114511</v>
      </c>
      <c r="AM343" t="str">
        <f t="shared" si="317"/>
        <v>1-0,140471398156004i</v>
      </c>
      <c r="AN343">
        <f t="shared" si="337"/>
        <v>1.0098179111601766</v>
      </c>
      <c r="AO343">
        <f t="shared" si="338"/>
        <v>-0.13955824788866825</v>
      </c>
      <c r="AP343" s="41" t="str">
        <f t="shared" si="339"/>
        <v>2,11631778320812-0,688229376477318i</v>
      </c>
      <c r="AQ343">
        <f t="shared" si="340"/>
        <v>6.9482103212961546</v>
      </c>
      <c r="AR343" s="43">
        <f t="shared" si="341"/>
        <v>-18.014594783591726</v>
      </c>
      <c r="AS343" t="str">
        <f t="shared" si="318"/>
        <v>-0,0000166666666666667</v>
      </c>
      <c r="AT343" t="str">
        <f t="shared" si="319"/>
        <v>0,000370281805288716i</v>
      </c>
      <c r="AU343">
        <f t="shared" si="342"/>
        <v>3.70281805288716E-4</v>
      </c>
      <c r="AV343">
        <f t="shared" si="343"/>
        <v>1.5707963267948966</v>
      </c>
      <c r="AW343" t="str">
        <f t="shared" si="320"/>
        <v>1+0,124611845172771i</v>
      </c>
      <c r="AX343">
        <f t="shared" si="344"/>
        <v>1.0077341474602133</v>
      </c>
      <c r="AY343">
        <f t="shared" si="345"/>
        <v>0.12397279309199598</v>
      </c>
      <c r="AZ343" t="str">
        <f t="shared" si="321"/>
        <v>1+29,4974039216115i</v>
      </c>
      <c r="BA343">
        <f t="shared" si="346"/>
        <v>29.514349698319656</v>
      </c>
      <c r="BB343">
        <f t="shared" si="347"/>
        <v>1.5369080169118887</v>
      </c>
      <c r="BC343" s="41" t="str">
        <f t="shared" si="348"/>
        <v>-1,30187611157628+0,207239947681059i</v>
      </c>
      <c r="BD343">
        <f t="shared" si="349"/>
        <v>2.400072416075866</v>
      </c>
      <c r="BE343" s="43">
        <f t="shared" si="350"/>
        <v>170.95522505025221</v>
      </c>
      <c r="BF343" s="41" t="str">
        <f t="shared" si="351"/>
        <v>-0,690568705081311+0,728614102802451i</v>
      </c>
      <c r="BG343" s="20">
        <f t="shared" si="352"/>
        <v>3.3586881260300488E-2</v>
      </c>
      <c r="BH343" s="43">
        <f t="shared" si="353"/>
        <v>133.46438475774639</v>
      </c>
      <c r="BI343" s="41" t="str">
        <f t="shared" si="306"/>
        <v>-2,61255494648899+1,3345749711894i</v>
      </c>
      <c r="BJ343" s="20">
        <f t="shared" si="354"/>
        <v>9.3482827373720081</v>
      </c>
      <c r="BK343" s="43">
        <f t="shared" si="307"/>
        <v>152.94063026666049</v>
      </c>
      <c r="BL343">
        <f t="shared" si="355"/>
        <v>3.3586881260300488E-2</v>
      </c>
      <c r="BM343" s="43">
        <f t="shared" si="356"/>
        <v>133.46438475774639</v>
      </c>
    </row>
    <row r="344" spans="14:65" x14ac:dyDescent="0.25">
      <c r="N344" s="9">
        <v>26</v>
      </c>
      <c r="O344" s="34">
        <f t="shared" si="308"/>
        <v>18197.008586099837</v>
      </c>
      <c r="P344" s="33" t="str">
        <f t="shared" si="309"/>
        <v>54,631621870174</v>
      </c>
      <c r="Q344" s="4" t="str">
        <f t="shared" si="310"/>
        <v>1+455,697155881418i</v>
      </c>
      <c r="R344" s="4">
        <f t="shared" si="322"/>
        <v>455.69825310002375</v>
      </c>
      <c r="S344" s="4">
        <f t="shared" si="323"/>
        <v>1.5686018904638608</v>
      </c>
      <c r="T344" s="4" t="str">
        <f t="shared" si="311"/>
        <v>1+5,71675884914015i</v>
      </c>
      <c r="U344" s="4">
        <f t="shared" si="324"/>
        <v>5.8035619871956401</v>
      </c>
      <c r="V344" s="4">
        <f t="shared" si="325"/>
        <v>1.3976241186441747</v>
      </c>
      <c r="W344" t="str">
        <f t="shared" si="312"/>
        <v>1-0,454978410886112i</v>
      </c>
      <c r="X344" s="4">
        <f t="shared" si="326"/>
        <v>1.0986379541834752</v>
      </c>
      <c r="Y344" s="4">
        <f t="shared" si="327"/>
        <v>-0.42698625457844774</v>
      </c>
      <c r="Z344" t="str">
        <f t="shared" si="313"/>
        <v>0,99867547551407+0,0625103537709717i</v>
      </c>
      <c r="AA344" s="4">
        <f t="shared" si="328"/>
        <v>1.0006299264572422</v>
      </c>
      <c r="AB344" s="4">
        <f t="shared" si="329"/>
        <v>6.251170665324704E-2</v>
      </c>
      <c r="AC344" s="47" t="str">
        <f t="shared" si="330"/>
        <v>0,603260459473999-0,468653432934582i</v>
      </c>
      <c r="AD344" s="20">
        <f t="shared" si="331"/>
        <v>-2.3391506326070481</v>
      </c>
      <c r="AE344" s="43">
        <f t="shared" si="332"/>
        <v>-37.842471974653328</v>
      </c>
      <c r="AF344" t="str">
        <f t="shared" si="314"/>
        <v>171,265703090588</v>
      </c>
      <c r="AG344" t="str">
        <f t="shared" si="315"/>
        <v>1+451,336126153903i</v>
      </c>
      <c r="AH344">
        <f t="shared" si="333"/>
        <v>451.33723397434414</v>
      </c>
      <c r="AI344">
        <f t="shared" si="334"/>
        <v>1.5685806868190597</v>
      </c>
      <c r="AJ344" t="str">
        <f t="shared" si="316"/>
        <v>1+5,71675884914015i</v>
      </c>
      <c r="AK344">
        <f t="shared" si="335"/>
        <v>5.8035619871956401</v>
      </c>
      <c r="AL344">
        <f t="shared" si="336"/>
        <v>1.3976241186441747</v>
      </c>
      <c r="AM344" t="str">
        <f t="shared" si="317"/>
        <v>1-0,143743397348919i</v>
      </c>
      <c r="AN344">
        <f t="shared" si="337"/>
        <v>1.0102782608179832</v>
      </c>
      <c r="AO344">
        <f t="shared" si="338"/>
        <v>-0.14276547603783354</v>
      </c>
      <c r="AP344" s="41" t="str">
        <f t="shared" si="339"/>
        <v>2,11627864939578-0,686597794771263i</v>
      </c>
      <c r="AQ344">
        <f t="shared" si="340"/>
        <v>6.9460974835703961</v>
      </c>
      <c r="AR344" s="43">
        <f t="shared" si="341"/>
        <v>-17.974949073605451</v>
      </c>
      <c r="AS344" t="str">
        <f t="shared" si="318"/>
        <v>-0,0000166666666666667</v>
      </c>
      <c r="AT344" t="str">
        <f t="shared" si="319"/>
        <v>0,00037890677652101i</v>
      </c>
      <c r="AU344">
        <f t="shared" si="342"/>
        <v>3.7890677652101002E-4</v>
      </c>
      <c r="AV344">
        <f t="shared" si="343"/>
        <v>1.5707963267948966</v>
      </c>
      <c r="AW344" t="str">
        <f t="shared" si="320"/>
        <v>1+0,127514427920471i</v>
      </c>
      <c r="AX344">
        <f t="shared" si="344"/>
        <v>1.0080971824818701</v>
      </c>
      <c r="AY344">
        <f t="shared" si="345"/>
        <v>0.12682996798050281</v>
      </c>
      <c r="AZ344" t="str">
        <f t="shared" si="321"/>
        <v>1+30,18448672346i</v>
      </c>
      <c r="BA344">
        <f t="shared" si="346"/>
        <v>30.201046981168268</v>
      </c>
      <c r="BB344">
        <f t="shared" si="347"/>
        <v>1.5376788385605566</v>
      </c>
      <c r="BC344" s="41" t="str">
        <f t="shared" si="348"/>
        <v>-1,30093861957722+0,20987463700818i</v>
      </c>
      <c r="BD344">
        <f t="shared" si="349"/>
        <v>2.3967195032195971</v>
      </c>
      <c r="BE344" s="43">
        <f t="shared" si="350"/>
        <v>170.83568581503604</v>
      </c>
      <c r="BF344" s="41" t="str">
        <f t="shared" si="351"/>
        <v>-0,686446360273841+0,736298420055534i</v>
      </c>
      <c r="BG344" s="20">
        <f t="shared" si="352"/>
        <v>5.756887061255235E-2</v>
      </c>
      <c r="BH344" s="43">
        <f t="shared" si="353"/>
        <v>132.99321384038271</v>
      </c>
      <c r="BI344" s="41" t="str">
        <f t="shared" si="306"/>
        <v>-2,60904916183745+1,33737480068459i</v>
      </c>
      <c r="BJ344" s="20">
        <f t="shared" si="354"/>
        <v>9.3428169867899804</v>
      </c>
      <c r="BK344" s="43">
        <f t="shared" si="307"/>
        <v>152.86073674143057</v>
      </c>
      <c r="BL344">
        <f t="shared" si="355"/>
        <v>5.756887061255235E-2</v>
      </c>
      <c r="BM344" s="43">
        <f t="shared" si="356"/>
        <v>132.99321384038271</v>
      </c>
    </row>
    <row r="345" spans="14:65" x14ac:dyDescent="0.25">
      <c r="N345" s="9">
        <v>27</v>
      </c>
      <c r="O345" s="34">
        <f t="shared" si="308"/>
        <v>18620.871366628675</v>
      </c>
      <c r="P345" s="33" t="str">
        <f t="shared" si="309"/>
        <v>54,631621870174</v>
      </c>
      <c r="Q345" s="4" t="str">
        <f t="shared" si="310"/>
        <v>1+466,311706215725i</v>
      </c>
      <c r="R345" s="4">
        <f t="shared" si="322"/>
        <v>466.31277845864423</v>
      </c>
      <c r="S345" s="4">
        <f t="shared" si="323"/>
        <v>1.5686518417782622</v>
      </c>
      <c r="T345" s="4" t="str">
        <f t="shared" si="311"/>
        <v>1+5,8499192688841i</v>
      </c>
      <c r="U345" s="4">
        <f t="shared" si="324"/>
        <v>5.9347750970412916</v>
      </c>
      <c r="V345" s="4">
        <f t="shared" si="325"/>
        <v>1.4014902565758431</v>
      </c>
      <c r="W345" t="str">
        <f t="shared" si="312"/>
        <v>1-0,465576219498792i</v>
      </c>
      <c r="X345" s="4">
        <f t="shared" si="326"/>
        <v>1.1030689988222802</v>
      </c>
      <c r="Y345" s="4">
        <f t="shared" si="327"/>
        <v>-0.43573134552467979</v>
      </c>
      <c r="Z345" t="str">
        <f t="shared" si="313"/>
        <v>0,99861305259819+0,0639664069588261i</v>
      </c>
      <c r="AA345" s="4">
        <f t="shared" si="328"/>
        <v>1.0006596474519682</v>
      </c>
      <c r="AB345" s="4">
        <f t="shared" si="329"/>
        <v>6.396785544025943E-2</v>
      </c>
      <c r="AC345" s="47" t="str">
        <f t="shared" si="330"/>
        <v>0,602256139514035-0,474070280910492i</v>
      </c>
      <c r="AD345" s="20">
        <f t="shared" si="331"/>
        <v>-2.3102532977294459</v>
      </c>
      <c r="AE345" s="43">
        <f t="shared" si="332"/>
        <v>-38.208308570165698</v>
      </c>
      <c r="AF345" t="str">
        <f t="shared" si="314"/>
        <v>171,265703090588</v>
      </c>
      <c r="AG345" t="str">
        <f t="shared" si="315"/>
        <v>1+461,849095056431i</v>
      </c>
      <c r="AH345">
        <f t="shared" si="333"/>
        <v>461.85017765985998</v>
      </c>
      <c r="AI345">
        <f t="shared" si="334"/>
        <v>1.5686311207828081</v>
      </c>
      <c r="AJ345" t="str">
        <f t="shared" si="316"/>
        <v>1+5,8499192688841i</v>
      </c>
      <c r="AK345">
        <f t="shared" si="335"/>
        <v>5.9347750970412916</v>
      </c>
      <c r="AL345">
        <f t="shared" si="336"/>
        <v>1.4014902565758431</v>
      </c>
      <c r="AM345" t="str">
        <f t="shared" si="317"/>
        <v>1-0,147091611193776i</v>
      </c>
      <c r="AN345">
        <f t="shared" si="337"/>
        <v>1.010760081366286</v>
      </c>
      <c r="AO345">
        <f t="shared" si="338"/>
        <v>-0.14604435115844414</v>
      </c>
      <c r="AP345" s="41" t="str">
        <f t="shared" si="339"/>
        <v>2,11624127687824-0,68533024849728i</v>
      </c>
      <c r="AQ345">
        <f t="shared" si="340"/>
        <v>6.9444326828146909</v>
      </c>
      <c r="AR345" s="43">
        <f t="shared" si="341"/>
        <v>-17.944191046333703</v>
      </c>
      <c r="AS345" t="str">
        <f t="shared" si="318"/>
        <v>-0,0000166666666666667</v>
      </c>
      <c r="AT345" t="str">
        <f t="shared" si="319"/>
        <v>0,000387732649141639i</v>
      </c>
      <c r="AU345">
        <f t="shared" si="342"/>
        <v>3.87732649141639E-4</v>
      </c>
      <c r="AV345">
        <f t="shared" si="343"/>
        <v>1.5707963267948966</v>
      </c>
      <c r="AW345" t="str">
        <f t="shared" si="320"/>
        <v>1+0,130484620505707i</v>
      </c>
      <c r="AX345">
        <f t="shared" si="344"/>
        <v>1.00847718674669</v>
      </c>
      <c r="AY345">
        <f t="shared" si="345"/>
        <v>0.12975154102019218</v>
      </c>
      <c r="AZ345" t="str">
        <f t="shared" si="321"/>
        <v>1+30,887573739708i</v>
      </c>
      <c r="BA345">
        <f t="shared" si="346"/>
        <v>30.903757239628632</v>
      </c>
      <c r="BB345">
        <f t="shared" si="347"/>
        <v>1.5384321522099267</v>
      </c>
      <c r="BC345" s="41" t="str">
        <f t="shared" si="348"/>
        <v>-1,29995839099119+0,212609522498645i</v>
      </c>
      <c r="BD345">
        <f t="shared" si="349"/>
        <v>2.3932316501854638</v>
      </c>
      <c r="BE345" s="43">
        <f t="shared" si="350"/>
        <v>170.71145370308105</v>
      </c>
      <c r="BF345" s="41" t="str">
        <f t="shared" si="351"/>
        <v>-0,682116066032052+0,744317029833101i</v>
      </c>
      <c r="BG345" s="20">
        <f t="shared" si="352"/>
        <v>8.2978352456016105E-2</v>
      </c>
      <c r="BH345" s="43">
        <f t="shared" si="353"/>
        <v>132.50314513291534</v>
      </c>
      <c r="BI345" s="41" t="str">
        <f t="shared" si="306"/>
        <v>-2,60531786835289+1,34083385450312i</v>
      </c>
      <c r="BJ345" s="20">
        <f t="shared" si="354"/>
        <v>9.3376643330001414</v>
      </c>
      <c r="BK345" s="43">
        <f t="shared" si="307"/>
        <v>152.76726265674731</v>
      </c>
      <c r="BL345">
        <f t="shared" si="355"/>
        <v>8.2978352456016105E-2</v>
      </c>
      <c r="BM345" s="43">
        <f t="shared" si="356"/>
        <v>132.50314513291534</v>
      </c>
    </row>
    <row r="346" spans="14:65" x14ac:dyDescent="0.25">
      <c r="N346" s="9">
        <v>28</v>
      </c>
      <c r="O346" s="34">
        <f t="shared" si="308"/>
        <v>19054.607179632505</v>
      </c>
      <c r="P346" s="33" t="str">
        <f t="shared" si="309"/>
        <v>54,631621870174</v>
      </c>
      <c r="Q346" s="4" t="str">
        <f t="shared" si="310"/>
        <v>1+477,173501189037i</v>
      </c>
      <c r="R346" s="4">
        <f t="shared" si="322"/>
        <v>477.17454902478175</v>
      </c>
      <c r="S346" s="4">
        <f t="shared" si="323"/>
        <v>1.5687006560722716</v>
      </c>
      <c r="T346" s="4" t="str">
        <f t="shared" si="311"/>
        <v>1+5,9861813932573i</v>
      </c>
      <c r="U346" s="4">
        <f t="shared" si="324"/>
        <v>6.0691323657488239</v>
      </c>
      <c r="V346" s="4">
        <f t="shared" si="325"/>
        <v>1.4052733347549469</v>
      </c>
      <c r="W346" t="str">
        <f t="shared" si="312"/>
        <v>1-0,476420882785683i</v>
      </c>
      <c r="X346" s="4">
        <f t="shared" si="326"/>
        <v>1.107689874267292</v>
      </c>
      <c r="Y346" s="4">
        <f t="shared" si="327"/>
        <v>-0.44460701067832392</v>
      </c>
      <c r="Z346" t="str">
        <f t="shared" si="313"/>
        <v>0,99854768778092+0,0654563759823461i</v>
      </c>
      <c r="AA346" s="4">
        <f t="shared" si="328"/>
        <v>1.0006907723814404</v>
      </c>
      <c r="AB346" s="4">
        <f t="shared" si="329"/>
        <v>6.5457926758927462E-2</v>
      </c>
      <c r="AC346" s="47" t="str">
        <f t="shared" si="330"/>
        <v>0,601205687257986-0,479734604228172i</v>
      </c>
      <c r="AD346" s="20">
        <f t="shared" si="331"/>
        <v>-2.279765557921233</v>
      </c>
      <c r="AE346" s="43">
        <f t="shared" si="332"/>
        <v>-38.588263961370075</v>
      </c>
      <c r="AF346" t="str">
        <f t="shared" si="314"/>
        <v>171,265703090588</v>
      </c>
      <c r="AG346" t="str">
        <f t="shared" si="315"/>
        <v>1+472,606942462457i</v>
      </c>
      <c r="AH346">
        <f t="shared" si="333"/>
        <v>472.60800042287912</v>
      </c>
      <c r="AI346">
        <f t="shared" si="334"/>
        <v>1.5686804067400268</v>
      </c>
      <c r="AJ346" t="str">
        <f t="shared" si="316"/>
        <v>1+5,9861813932573i</v>
      </c>
      <c r="AK346">
        <f t="shared" si="335"/>
        <v>6.0691323657488239</v>
      </c>
      <c r="AL346">
        <f t="shared" si="336"/>
        <v>1.4052733347549469</v>
      </c>
      <c r="AM346" t="str">
        <f t="shared" si="317"/>
        <v>1-0,150517814957878i</v>
      </c>
      <c r="AN346">
        <f t="shared" si="337"/>
        <v>1.0112643633687948</v>
      </c>
      <c r="AO346">
        <f t="shared" si="338"/>
        <v>-0.14939632959658092</v>
      </c>
      <c r="AP346" s="41" t="str">
        <f t="shared" si="339"/>
        <v>2,11620558638565-0,684426066106633i</v>
      </c>
      <c r="AQ346">
        <f t="shared" si="340"/>
        <v>6.9432129022020783</v>
      </c>
      <c r="AR346" s="43">
        <f t="shared" si="341"/>
        <v>-17.922314727964977</v>
      </c>
      <c r="AS346" t="str">
        <f t="shared" si="318"/>
        <v>-0,0000166666666666667</v>
      </c>
      <c r="AT346" t="str">
        <f t="shared" si="319"/>
        <v>0,000396764102745093i</v>
      </c>
      <c r="AU346">
        <f t="shared" si="342"/>
        <v>3.96764102745093E-4</v>
      </c>
      <c r="AV346">
        <f t="shared" si="343"/>
        <v>1.5707963267948966</v>
      </c>
      <c r="AW346" t="str">
        <f t="shared" si="320"/>
        <v>1+0,133523997763904i</v>
      </c>
      <c r="AX346">
        <f t="shared" si="344"/>
        <v>1.0088749466504039</v>
      </c>
      <c r="AY346">
        <f t="shared" si="345"/>
        <v>0.1327388616628975</v>
      </c>
      <c r="AZ346" t="str">
        <f t="shared" si="321"/>
        <v>1+31,6070377563985i</v>
      </c>
      <c r="BA346">
        <f t="shared" si="346"/>
        <v>31.622853061265683</v>
      </c>
      <c r="BB346">
        <f t="shared" si="347"/>
        <v>1.5391683538549803</v>
      </c>
      <c r="BC346" s="41" t="str">
        <f t="shared" si="348"/>
        <v>-1,29893354763345+0,215445288477327i</v>
      </c>
      <c r="BD346">
        <f t="shared" si="349"/>
        <v>2.3896017977474471</v>
      </c>
      <c r="BE346" s="43">
        <f t="shared" si="350"/>
        <v>170.58247408533396</v>
      </c>
      <c r="BF346" s="41" t="str">
        <f t="shared" si="351"/>
        <v>-0,677569676006927+0,752670304118135i</v>
      </c>
      <c r="BG346" s="20">
        <f t="shared" si="352"/>
        <v>0.10983623982621241</v>
      </c>
      <c r="BH346" s="43">
        <f t="shared" si="353"/>
        <v>131.99421012396388</v>
      </c>
      <c r="BI346" s="41" t="str">
        <f t="shared" si="306"/>
        <v>-2,60135405859189+1,34495050117688i</v>
      </c>
      <c r="BJ346" s="20">
        <f t="shared" si="354"/>
        <v>9.3328146999495178</v>
      </c>
      <c r="BK346" s="43">
        <f t="shared" si="307"/>
        <v>152.66015935736903</v>
      </c>
      <c r="BL346">
        <f t="shared" si="355"/>
        <v>0.10983623982621241</v>
      </c>
      <c r="BM346" s="43">
        <f t="shared" si="356"/>
        <v>131.99421012396388</v>
      </c>
    </row>
    <row r="347" spans="14:65" x14ac:dyDescent="0.25">
      <c r="N347" s="9">
        <v>29</v>
      </c>
      <c r="O347" s="34">
        <f t="shared" si="308"/>
        <v>19498.445997580486</v>
      </c>
      <c r="P347" s="33" t="str">
        <f t="shared" si="309"/>
        <v>54,631621870174</v>
      </c>
      <c r="Q347" s="4" t="str">
        <f t="shared" si="310"/>
        <v>1+488,288299868811i</v>
      </c>
      <c r="R347" s="4">
        <f t="shared" si="322"/>
        <v>488.28932385295286</v>
      </c>
      <c r="S347" s="4">
        <f t="shared" si="323"/>
        <v>1.5687483592269429</v>
      </c>
      <c r="T347" s="4" t="str">
        <f t="shared" si="311"/>
        <v>1+6,1256174702416i</v>
      </c>
      <c r="U347" s="4">
        <f t="shared" si="324"/>
        <v>6.2067051961349913</v>
      </c>
      <c r="V347" s="4">
        <f t="shared" si="325"/>
        <v>1.4089749256641404</v>
      </c>
      <c r="W347" t="str">
        <f t="shared" si="312"/>
        <v>1-0,487518150730798i</v>
      </c>
      <c r="X347" s="4">
        <f t="shared" si="326"/>
        <v>1.1125079538106579</v>
      </c>
      <c r="Y347" s="4">
        <f t="shared" si="327"/>
        <v>-0.45361236140844069</v>
      </c>
      <c r="Z347" t="str">
        <f t="shared" si="313"/>
        <v>0,998479242414718+0,0669810508428287i</v>
      </c>
      <c r="AA347" s="4">
        <f t="shared" si="328"/>
        <v>1.0007233677221086</v>
      </c>
      <c r="AB347" s="4">
        <f t="shared" si="329"/>
        <v>6.698271107223111E-2</v>
      </c>
      <c r="AC347" s="47" t="str">
        <f t="shared" si="330"/>
        <v>0,600106891732673-0,485649129125118i</v>
      </c>
      <c r="AD347" s="20">
        <f t="shared" si="331"/>
        <v>-2.2476586706407975</v>
      </c>
      <c r="AE347" s="43">
        <f t="shared" si="332"/>
        <v>-38.982243909912128</v>
      </c>
      <c r="AF347" t="str">
        <f t="shared" si="314"/>
        <v>171,265703090588</v>
      </c>
      <c r="AG347" t="str">
        <f t="shared" si="315"/>
        <v>1+483,615372325063i</v>
      </c>
      <c r="AH347">
        <f t="shared" si="333"/>
        <v>483.61640620341785</v>
      </c>
      <c r="AI347">
        <f t="shared" si="334"/>
        <v>1.5687285708218244</v>
      </c>
      <c r="AJ347" t="str">
        <f t="shared" si="316"/>
        <v>1+6,1256174702416i</v>
      </c>
      <c r="AK347">
        <f t="shared" si="335"/>
        <v>6.2067051961349913</v>
      </c>
      <c r="AL347">
        <f t="shared" si="336"/>
        <v>1.4089749256641404</v>
      </c>
      <c r="AM347" t="str">
        <f t="shared" si="317"/>
        <v>1-0,154023825259807i</v>
      </c>
      <c r="AN347">
        <f t="shared" si="337"/>
        <v>1.0117921420665728</v>
      </c>
      <c r="AO347">
        <f t="shared" si="338"/>
        <v>-0.15282288716323436</v>
      </c>
      <c r="AP347" s="41" t="str">
        <f t="shared" si="339"/>
        <v>2,11617150221577-0,683884768676145i</v>
      </c>
      <c r="AQ347">
        <f t="shared" si="340"/>
        <v>6.9424359291124595</v>
      </c>
      <c r="AR347" s="43">
        <f t="shared" si="341"/>
        <v>-17.909316076823274</v>
      </c>
      <c r="AS347" t="str">
        <f t="shared" si="318"/>
        <v>-0,0000166666666666667</v>
      </c>
      <c r="AT347" t="str">
        <f t="shared" si="319"/>
        <v>0,000406005925927614i</v>
      </c>
      <c r="AU347">
        <f t="shared" si="342"/>
        <v>4.0600592592761401E-4</v>
      </c>
      <c r="AV347">
        <f t="shared" si="343"/>
        <v>1.5707963267948966</v>
      </c>
      <c r="AW347" t="str">
        <f t="shared" si="320"/>
        <v>1+0,136634171213114i</v>
      </c>
      <c r="AX347">
        <f t="shared" si="344"/>
        <v>1.0092912843887509</v>
      </c>
      <c r="AY347">
        <f t="shared" si="345"/>
        <v>0.13579330043974555</v>
      </c>
      <c r="AZ347" t="str">
        <f t="shared" si="321"/>
        <v>1+32,3432602428756i</v>
      </c>
      <c r="BA347">
        <f t="shared" si="346"/>
        <v>32.358715721399967</v>
      </c>
      <c r="BB347">
        <f t="shared" si="347"/>
        <v>1.5398878306456201</v>
      </c>
      <c r="BC347" s="41" t="str">
        <f t="shared" si="348"/>
        <v>-1,29786213539892+0,218382621173639i</v>
      </c>
      <c r="BD347">
        <f t="shared" si="349"/>
        <v>2.3858226171536487</v>
      </c>
      <c r="BE347" s="43">
        <f t="shared" si="350"/>
        <v>170.44869061820066</v>
      </c>
      <c r="BF347" s="41" t="str">
        <f t="shared" si="351"/>
        <v>-0,672798682182737+0,761358531781898i</v>
      </c>
      <c r="BG347" s="20">
        <f t="shared" si="352"/>
        <v>0.13816394651285185</v>
      </c>
      <c r="BH347" s="43">
        <f t="shared" si="353"/>
        <v>131.46644670828852</v>
      </c>
      <c r="BI347" s="41" t="str">
        <f t="shared" si="306"/>
        <v>-2,59715031637187+1,34972322574766i</v>
      </c>
      <c r="BJ347" s="20">
        <f t="shared" si="354"/>
        <v>9.3282585462661007</v>
      </c>
      <c r="BK347" s="43">
        <f t="shared" si="307"/>
        <v>152.53937454137724</v>
      </c>
      <c r="BL347">
        <f t="shared" si="355"/>
        <v>0.13816394651285185</v>
      </c>
      <c r="BM347" s="43">
        <f t="shared" si="356"/>
        <v>131.46644670828852</v>
      </c>
    </row>
    <row r="348" spans="14:65" x14ac:dyDescent="0.25">
      <c r="N348" s="9">
        <v>30</v>
      </c>
      <c r="O348" s="34">
        <f t="shared" si="308"/>
        <v>19952.623149688792</v>
      </c>
      <c r="P348" s="33" t="str">
        <f t="shared" si="309"/>
        <v>54,631621870174</v>
      </c>
      <c r="Q348" s="4" t="str">
        <f t="shared" si="310"/>
        <v>1+499,661995468438i</v>
      </c>
      <c r="R348" s="4">
        <f t="shared" si="322"/>
        <v>499.66299614390232</v>
      </c>
      <c r="S348" s="4">
        <f t="shared" si="323"/>
        <v>1.5687949765342513</v>
      </c>
      <c r="T348" s="4" t="str">
        <f t="shared" si="311"/>
        <v>1+6,2683014306908i</v>
      </c>
      <c r="U348" s="4">
        <f t="shared" si="324"/>
        <v>6.3475666854315378</v>
      </c>
      <c r="V348" s="4">
        <f t="shared" si="325"/>
        <v>1.4125965859837082</v>
      </c>
      <c r="W348" t="str">
        <f t="shared" si="312"/>
        <v>1-0,498873907252498i</v>
      </c>
      <c r="X348" s="4">
        <f t="shared" si="326"/>
        <v>1.1175308386516114</v>
      </c>
      <c r="Y348" s="4">
        <f t="shared" si="327"/>
        <v>-0.46274632907681851</v>
      </c>
      <c r="Z348" t="str">
        <f t="shared" si="313"/>
        <v>0,998407571317786+0,0685412399430676i</v>
      </c>
      <c r="AA348" s="4">
        <f t="shared" si="328"/>
        <v>1.0007575031133233</v>
      </c>
      <c r="AB348" s="4">
        <f t="shared" si="329"/>
        <v>6.8543017275569593E-2</v>
      </c>
      <c r="AC348" s="47" t="str">
        <f t="shared" si="330"/>
        <v>0,598957441080139-0,491816694703937i</v>
      </c>
      <c r="AD348" s="20">
        <f t="shared" si="331"/>
        <v>-2.2139032064626645</v>
      </c>
      <c r="AE348" s="43">
        <f t="shared" si="332"/>
        <v>-39.390145791538266</v>
      </c>
      <c r="AF348" t="str">
        <f t="shared" si="314"/>
        <v>171,265703090588</v>
      </c>
      <c r="AG348" t="str">
        <f t="shared" si="315"/>
        <v>1+494,880221459486i</v>
      </c>
      <c r="AH348">
        <f t="shared" si="333"/>
        <v>494.8812318039449</v>
      </c>
      <c r="AI348">
        <f t="shared" si="334"/>
        <v>1.5687756385645404</v>
      </c>
      <c r="AJ348" t="str">
        <f t="shared" si="316"/>
        <v>1+6,2683014306908i</v>
      </c>
      <c r="AK348">
        <f t="shared" si="335"/>
        <v>6.3475666854315378</v>
      </c>
      <c r="AL348">
        <f t="shared" si="336"/>
        <v>1.4125965859837082</v>
      </c>
      <c r="AM348" t="str">
        <f t="shared" si="317"/>
        <v>1-0,157611501032636i</v>
      </c>
      <c r="AN348">
        <f t="shared" si="337"/>
        <v>1.0123444992974282</v>
      </c>
      <c r="AO348">
        <f t="shared" si="338"/>
        <v>-0.15632551864075495</v>
      </c>
      <c r="AP348" s="41" t="str">
        <f t="shared" si="339"/>
        <v>2,11613895207342-0,683706069656581i</v>
      </c>
      <c r="AQ348">
        <f t="shared" si="340"/>
        <v>6.9421003532340766</v>
      </c>
      <c r="AR348" s="43">
        <f t="shared" si="341"/>
        <v>-17.905193009542348</v>
      </c>
      <c r="AS348" t="str">
        <f t="shared" si="318"/>
        <v>-0,0000166666666666667</v>
      </c>
      <c r="AT348" t="str">
        <f t="shared" si="319"/>
        <v>0,000415463018826186i</v>
      </c>
      <c r="AU348">
        <f t="shared" si="342"/>
        <v>4.1546301882618597E-4</v>
      </c>
      <c r="AV348">
        <f t="shared" si="343"/>
        <v>1.5707963267948966</v>
      </c>
      <c r="AW348" t="str">
        <f t="shared" si="320"/>
        <v>1+0,139816789908468i</v>
      </c>
      <c r="AX348">
        <f t="shared" si="344"/>
        <v>1.009727059526637</v>
      </c>
      <c r="AY348">
        <f t="shared" si="345"/>
        <v>0.13891624876083469</v>
      </c>
      <c r="AZ348" t="str">
        <f t="shared" si="321"/>
        <v>1+33,0966315540474i</v>
      </c>
      <c r="BA348">
        <f t="shared" si="346"/>
        <v>33.111735385273391</v>
      </c>
      <c r="BB348">
        <f t="shared" si="347"/>
        <v>1.5405909610767816</v>
      </c>
      <c r="BC348" s="41" t="str">
        <f t="shared" si="348"/>
        <v>-1,29674212182531+0,221422205768622i</v>
      </c>
      <c r="BD348">
        <f t="shared" si="349"/>
        <v>2.3818864975517968</v>
      </c>
      <c r="BE348" s="43">
        <f t="shared" si="350"/>
        <v>170.31004526591755</v>
      </c>
      <c r="BF348" s="41" t="str">
        <f t="shared" si="351"/>
        <v>-0,667794205654139+0,770381902004988i</v>
      </c>
      <c r="BG348" s="20">
        <f t="shared" si="352"/>
        <v>0.16798329108913396</v>
      </c>
      <c r="BH348" s="43">
        <f t="shared" si="353"/>
        <v>130.91989947437929</v>
      </c>
      <c r="BI348" s="41" t="str">
        <f t="shared" si="306"/>
        <v>-2,59269880874812+1,35515061395231i</v>
      </c>
      <c r="BJ348" s="20">
        <f t="shared" si="354"/>
        <v>9.3239868507858699</v>
      </c>
      <c r="BK348" s="43">
        <f t="shared" si="307"/>
        <v>152.40485225637528</v>
      </c>
      <c r="BL348">
        <f t="shared" si="355"/>
        <v>0.16798329108913396</v>
      </c>
      <c r="BM348" s="43">
        <f t="shared" si="356"/>
        <v>130.91989947437929</v>
      </c>
    </row>
    <row r="349" spans="14:65" x14ac:dyDescent="0.25">
      <c r="N349" s="9">
        <v>31</v>
      </c>
      <c r="O349" s="34">
        <f t="shared" si="308"/>
        <v>20417.379446695286</v>
      </c>
      <c r="P349" s="33" t="str">
        <f t="shared" si="309"/>
        <v>54,631621870174</v>
      </c>
      <c r="Q349" s="4" t="str">
        <f t="shared" si="310"/>
        <v>1+511,300618471869i</v>
      </c>
      <c r="R349" s="4">
        <f t="shared" si="322"/>
        <v>511.30159636922292</v>
      </c>
      <c r="S349" s="4">
        <f t="shared" si="323"/>
        <v>1.5688405327104988</v>
      </c>
      <c r="T349" s="4" t="str">
        <f t="shared" si="311"/>
        <v>1+6,4143089275293i</v>
      </c>
      <c r="U349" s="4">
        <f t="shared" si="324"/>
        <v>6.4917916646933511</v>
      </c>
      <c r="V349" s="4">
        <f t="shared" si="325"/>
        <v>1.416139855746664</v>
      </c>
      <c r="W349" t="str">
        <f t="shared" si="312"/>
        <v>1-0,510494173323199i</v>
      </c>
      <c r="X349" s="4">
        <f t="shared" si="326"/>
        <v>1.1227663608235403</v>
      </c>
      <c r="Y349" s="4">
        <f t="shared" si="327"/>
        <v>-0.47200765934688244</v>
      </c>
      <c r="Z349" t="str">
        <f t="shared" si="313"/>
        <v>0,998332522466119+0,0701377705159746i</v>
      </c>
      <c r="AA349" s="4">
        <f t="shared" si="328"/>
        <v>1.0007932515092794</v>
      </c>
      <c r="AB349" s="4">
        <f t="shared" si="329"/>
        <v>7.0139673127339111E-2</v>
      </c>
      <c r="AC349" s="47" t="str">
        <f t="shared" si="330"/>
        <v>0,597754917813936-0,49824025302834i</v>
      </c>
      <c r="AD349" s="20">
        <f t="shared" si="331"/>
        <v>-2.1784691371738827</v>
      </c>
      <c r="AE349" s="43">
        <f t="shared" si="332"/>
        <v>-39.811858343866994</v>
      </c>
      <c r="AF349" t="str">
        <f t="shared" si="314"/>
        <v>171,265703090588</v>
      </c>
      <c r="AG349" t="str">
        <f t="shared" si="315"/>
        <v>1+506,407462637838i</v>
      </c>
      <c r="AH349">
        <f t="shared" si="333"/>
        <v>506.40844998409466</v>
      </c>
      <c r="AI349">
        <f t="shared" si="334"/>
        <v>1.56882163492328</v>
      </c>
      <c r="AJ349" t="str">
        <f t="shared" si="316"/>
        <v>1+6,4143089275293i</v>
      </c>
      <c r="AK349">
        <f t="shared" si="335"/>
        <v>6.4917916646933511</v>
      </c>
      <c r="AL349">
        <f t="shared" si="336"/>
        <v>1.416139855746664</v>
      </c>
      <c r="AM349" t="str">
        <f t="shared" si="317"/>
        <v>1-0,161282744509546i</v>
      </c>
      <c r="AN349">
        <f t="shared" si="337"/>
        <v>1.0129225654888587</v>
      </c>
      <c r="AO349">
        <f t="shared" si="338"/>
        <v>-0.15990573722008367</v>
      </c>
      <c r="AP349" s="41" t="str">
        <f t="shared" si="339"/>
        <v>2,11610786691709-0,683889874722908i</v>
      </c>
      <c r="AQ349">
        <f t="shared" si="340"/>
        <v>6.9422055653468941</v>
      </c>
      <c r="AR349" s="43">
        <f t="shared" si="341"/>
        <v>-17.909945418007361</v>
      </c>
      <c r="AS349" t="str">
        <f t="shared" si="318"/>
        <v>-0,0000166666666666667</v>
      </c>
      <c r="AT349" t="str">
        <f t="shared" si="319"/>
        <v>0,000425140395716643i</v>
      </c>
      <c r="AU349">
        <f t="shared" si="342"/>
        <v>4.2514039571664301E-4</v>
      </c>
      <c r="AV349">
        <f t="shared" si="343"/>
        <v>1.5707963267948966</v>
      </c>
      <c r="AW349" t="str">
        <f t="shared" si="320"/>
        <v>1+0,143073541316526i</v>
      </c>
      <c r="AX349">
        <f t="shared" si="344"/>
        <v>1.0101831706303821</v>
      </c>
      <c r="AY349">
        <f t="shared" si="345"/>
        <v>0.14210911866653328</v>
      </c>
      <c r="AZ349" t="str">
        <f t="shared" si="321"/>
        <v>1+33,8675511373547i</v>
      </c>
      <c r="BA349">
        <f t="shared" si="346"/>
        <v>33.882311314922653</v>
      </c>
      <c r="BB349">
        <f t="shared" si="347"/>
        <v>1.5412781151749562</v>
      </c>
      <c r="BC349" s="41" t="str">
        <f t="shared" si="348"/>
        <v>-1,29557139364061+0,224564723247047i</v>
      </c>
      <c r="BD349">
        <f t="shared" si="349"/>
        <v>2.3777855330827617</v>
      </c>
      <c r="BE349" s="43">
        <f t="shared" si="350"/>
        <v>170.16647832548722</v>
      </c>
      <c r="BF349" s="41" t="str">
        <f t="shared" si="351"/>
        <v>-0,662546987395881+0,779740486672224i</v>
      </c>
      <c r="BG349" s="20">
        <f t="shared" si="352"/>
        <v>0.1993163959088724</v>
      </c>
      <c r="BH349" s="43">
        <f t="shared" si="353"/>
        <v>130.35461998162023</v>
      </c>
      <c r="BI349" s="41" t="str">
        <f t="shared" si="306"/>
        <v>-2,58799127778703+1,3612313355866i</v>
      </c>
      <c r="BJ349" s="20">
        <f t="shared" si="354"/>
        <v>9.3199910984296732</v>
      </c>
      <c r="BK349" s="43">
        <f t="shared" si="307"/>
        <v>152.25653290747982</v>
      </c>
      <c r="BL349">
        <f t="shared" si="355"/>
        <v>0.1993163959088724</v>
      </c>
      <c r="BM349" s="43">
        <f t="shared" si="356"/>
        <v>130.35461998162023</v>
      </c>
    </row>
    <row r="350" spans="14:65" x14ac:dyDescent="0.25">
      <c r="N350" s="9">
        <v>32</v>
      </c>
      <c r="O350" s="34">
        <f t="shared" si="308"/>
        <v>20892.961308540423</v>
      </c>
      <c r="P350" s="33" t="str">
        <f t="shared" si="309"/>
        <v>54,631621870174</v>
      </c>
      <c r="Q350" s="4" t="str">
        <f t="shared" si="310"/>
        <v>1+523,210339831082i</v>
      </c>
      <c r="R350" s="4">
        <f t="shared" si="322"/>
        <v>523.21129546881559</v>
      </c>
      <c r="S350" s="4">
        <f t="shared" si="323"/>
        <v>1.5688850519094169</v>
      </c>
      <c r="T350" s="4" t="str">
        <f t="shared" si="311"/>
        <v>1+6,56371737586465i</v>
      </c>
      <c r="U350" s="4">
        <f t="shared" si="324"/>
        <v>6.6394567390884882</v>
      </c>
      <c r="V350" s="4">
        <f t="shared" si="325"/>
        <v>1.4196062575802153</v>
      </c>
      <c r="W350" t="str">
        <f t="shared" si="312"/>
        <v>1-0,522385110161789i</v>
      </c>
      <c r="X350" s="4">
        <f t="shared" si="326"/>
        <v>1.1282225858928479</v>
      </c>
      <c r="Y350" s="4">
        <f t="shared" si="327"/>
        <v>-0.48139490685398617</v>
      </c>
      <c r="Z350" t="str">
        <f t="shared" si="313"/>
        <v>0,998253936671039+0,0717714890631929i</v>
      </c>
      <c r="AA350" s="4">
        <f t="shared" si="328"/>
        <v>1.0008306893383989</v>
      </c>
      <c r="AB350" s="4">
        <f t="shared" si="329"/>
        <v>7.1773525689611581E-2</v>
      </c>
      <c r="AC350" s="47" t="str">
        <f t="shared" si="330"/>
        <v>0,596496793866831-0,504922869178818i</v>
      </c>
      <c r="AD350" s="20">
        <f t="shared" si="331"/>
        <v>-2.1413259285126593</v>
      </c>
      <c r="AE350" s="43">
        <f t="shared" si="332"/>
        <v>-40.247261430480044</v>
      </c>
      <c r="AF350" t="str">
        <f t="shared" si="314"/>
        <v>171,265703090588</v>
      </c>
      <c r="AG350" t="str">
        <f t="shared" si="315"/>
        <v>1+518,20320775598i</v>
      </c>
      <c r="AH350">
        <f t="shared" si="333"/>
        <v>518.20417262753426</v>
      </c>
      <c r="AI350">
        <f t="shared" si="334"/>
        <v>1.5688665842851426</v>
      </c>
      <c r="AJ350" t="str">
        <f t="shared" si="316"/>
        <v>1+6,56371737586465i</v>
      </c>
      <c r="AK350">
        <f t="shared" si="335"/>
        <v>6.6394567390884882</v>
      </c>
      <c r="AL350">
        <f t="shared" si="336"/>
        <v>1.4196062575802153</v>
      </c>
      <c r="AM350" t="str">
        <f t="shared" si="317"/>
        <v>1-0,165039502232427i</v>
      </c>
      <c r="AN350">
        <f t="shared" si="337"/>
        <v>1.0135275217265327</v>
      </c>
      <c r="AO350">
        <f t="shared" si="338"/>
        <v>-0.16356507386420438</v>
      </c>
      <c r="AP350" s="41" t="str">
        <f t="shared" si="339"/>
        <v>2,11607818081262-0,684436281726285i</v>
      </c>
      <c r="AQ350">
        <f t="shared" si="340"/>
        <v>6.9427517567970192</v>
      </c>
      <c r="AR350" s="43">
        <f t="shared" si="341"/>
        <v>-17.923575177100641</v>
      </c>
      <c r="AS350" t="str">
        <f t="shared" si="318"/>
        <v>-0,0000166666666666667</v>
      </c>
      <c r="AT350" t="str">
        <f t="shared" si="319"/>
        <v>0,000435043187672308i</v>
      </c>
      <c r="AU350">
        <f t="shared" si="342"/>
        <v>4.3504318767230801E-4</v>
      </c>
      <c r="AV350">
        <f t="shared" si="343"/>
        <v>1.5707963267948966</v>
      </c>
      <c r="AW350" t="str">
        <f t="shared" si="320"/>
        <v>1+0,146406152209992i</v>
      </c>
      <c r="AX350">
        <f t="shared" si="344"/>
        <v>1.0106605569650648</v>
      </c>
      <c r="AY350">
        <f t="shared" si="345"/>
        <v>0.14537334252680445</v>
      </c>
      <c r="AZ350" t="str">
        <f t="shared" si="321"/>
        <v>1+34,6564277445653i</v>
      </c>
      <c r="BA350">
        <f t="shared" si="346"/>
        <v>34.670852080880209</v>
      </c>
      <c r="BB350">
        <f t="shared" si="347"/>
        <v>1.5419496546811704</v>
      </c>
      <c r="BC350" s="41" t="str">
        <f t="shared" si="348"/>
        <v>-1,29434775430296+0,227810847043725i</v>
      </c>
      <c r="BD350">
        <f t="shared" si="349"/>
        <v>2.3735115096424</v>
      </c>
      <c r="BE350" s="43">
        <f t="shared" si="350"/>
        <v>170.01792845439013</v>
      </c>
      <c r="BF350" s="41" t="str">
        <f t="shared" si="351"/>
        <v>-0,657047379071074+0,789434221687479i</v>
      </c>
      <c r="BG350" s="20">
        <f t="shared" si="352"/>
        <v>0.23218558112973653</v>
      </c>
      <c r="BH350" s="43">
        <f t="shared" si="353"/>
        <v>129.77066702391014</v>
      </c>
      <c r="BI350" s="41" t="str">
        <f t="shared" si="306"/>
        <v>-2,58301903217678+1,36796412699755i</v>
      </c>
      <c r="BJ350" s="20">
        <f t="shared" si="354"/>
        <v>9.3162632664394014</v>
      </c>
      <c r="BK350" s="43">
        <f t="shared" si="307"/>
        <v>152.09435327728951</v>
      </c>
      <c r="BL350">
        <f t="shared" si="355"/>
        <v>0.23218558112973653</v>
      </c>
      <c r="BM350" s="43">
        <f t="shared" si="356"/>
        <v>129.77066702391014</v>
      </c>
    </row>
    <row r="351" spans="14:65" x14ac:dyDescent="0.25">
      <c r="N351" s="9">
        <v>33</v>
      </c>
      <c r="O351" s="34">
        <f t="shared" si="308"/>
        <v>21379.620895022348</v>
      </c>
      <c r="P351" s="33" t="str">
        <f t="shared" si="309"/>
        <v>54,631621870174</v>
      </c>
      <c r="Q351" s="4" t="str">
        <f t="shared" si="310"/>
        <v>1+535,397474237977i</v>
      </c>
      <c r="R351" s="4">
        <f t="shared" si="322"/>
        <v>535.39840812277851</v>
      </c>
      <c r="S351" s="4">
        <f t="shared" si="323"/>
        <v>1.5689285577349674</v>
      </c>
      <c r="T351" s="4" t="str">
        <f t="shared" si="311"/>
        <v>1+6,7166059940337i</v>
      </c>
      <c r="U351" s="4">
        <f t="shared" si="324"/>
        <v>6.7906403290919064</v>
      </c>
      <c r="V351" s="4">
        <f t="shared" si="325"/>
        <v>1.4229972960284401</v>
      </c>
      <c r="W351" t="str">
        <f t="shared" si="312"/>
        <v>1-0,534553022500367i</v>
      </c>
      <c r="X351" s="4">
        <f t="shared" si="326"/>
        <v>1.1339078154172313</v>
      </c>
      <c r="Y351" s="4">
        <f t="shared" si="327"/>
        <v>-0.49090643029092895</v>
      </c>
      <c r="Z351" t="str">
        <f t="shared" si="313"/>
        <v>0,998171647241541+0,0734432618039199i</v>
      </c>
      <c r="AA351" s="4">
        <f t="shared" si="328"/>
        <v>1.0008698966705365</v>
      </c>
      <c r="AB351" s="4">
        <f t="shared" si="329"/>
        <v>7.3445441779134993E-2</v>
      </c>
      <c r="AC351" s="47" t="str">
        <f t="shared" si="330"/>
        <v>0,595180425420885-0,511867721260832i</v>
      </c>
      <c r="AD351" s="20">
        <f t="shared" si="331"/>
        <v>-2.1024426374543328</v>
      </c>
      <c r="AE351" s="43">
        <f t="shared" si="332"/>
        <v>-40.696225824724628</v>
      </c>
      <c r="AF351" t="str">
        <f t="shared" si="314"/>
        <v>171,265703090588</v>
      </c>
      <c r="AG351" t="str">
        <f t="shared" si="315"/>
        <v>1+530,273711074101i</v>
      </c>
      <c r="AH351">
        <f t="shared" si="333"/>
        <v>530.27465398253685</v>
      </c>
      <c r="AI351">
        <f t="shared" si="334"/>
        <v>1.5689105104821479</v>
      </c>
      <c r="AJ351" t="str">
        <f t="shared" si="316"/>
        <v>1+6,7166059940337i</v>
      </c>
      <c r="AK351">
        <f t="shared" si="335"/>
        <v>6.7906403290919064</v>
      </c>
      <c r="AL351">
        <f t="shared" si="336"/>
        <v>1.4229972960284401</v>
      </c>
      <c r="AM351" t="str">
        <f t="shared" si="317"/>
        <v>1-0,168883766083946i</v>
      </c>
      <c r="AN351">
        <f t="shared" si="337"/>
        <v>1.0141606019002598</v>
      </c>
      <c r="AO351">
        <f t="shared" si="338"/>
        <v>-0.16730507659295582</v>
      </c>
      <c r="AP351" s="41" t="str">
        <f t="shared" si="339"/>
        <v>2,11604983079321-0,685345580747821i</v>
      </c>
      <c r="AQ351">
        <f t="shared" si="340"/>
        <v>6.9437399196642735</v>
      </c>
      <c r="AR351" s="43">
        <f t="shared" si="341"/>
        <v>-17.94608614327402</v>
      </c>
      <c r="AS351" t="str">
        <f t="shared" si="318"/>
        <v>-0,0000166666666666667</v>
      </c>
      <c r="AT351" t="str">
        <f t="shared" si="319"/>
        <v>0,000445176645284554i</v>
      </c>
      <c r="AU351">
        <f t="shared" si="342"/>
        <v>4.4517664528455402E-4</v>
      </c>
      <c r="AV351">
        <f t="shared" si="343"/>
        <v>1.5707963267948966</v>
      </c>
      <c r="AW351" t="str">
        <f t="shared" si="320"/>
        <v>1+0,149816389583274i</v>
      </c>
      <c r="AX351">
        <f t="shared" si="344"/>
        <v>1.0111602002589735</v>
      </c>
      <c r="AY351">
        <f t="shared" si="345"/>
        <v>0.14871037268477708</v>
      </c>
      <c r="AZ351" t="str">
        <f t="shared" si="321"/>
        <v>1+35,4636796484979i</v>
      </c>
      <c r="BA351">
        <f t="shared" si="346"/>
        <v>35.477775778806716</v>
      </c>
      <c r="BB351">
        <f t="shared" si="347"/>
        <v>1.542605933230444</v>
      </c>
      <c r="BC351" s="41" t="str">
        <f t="shared" si="348"/>
        <v>-1,2930689215409+0,231161239472975i</v>
      </c>
      <c r="BD351">
        <f t="shared" si="349"/>
        <v>2.3690558913071644</v>
      </c>
      <c r="BE351" s="43">
        <f t="shared" si="350"/>
        <v>169.8643327012889</v>
      </c>
      <c r="BF351" s="41" t="str">
        <f t="shared" si="351"/>
        <v>-0,651285333928377+0,799462887152686i</v>
      </c>
      <c r="BG351" s="20">
        <f t="shared" si="352"/>
        <v>0.26661325385283002</v>
      </c>
      <c r="BH351" s="43">
        <f t="shared" si="353"/>
        <v>129.16810687656428</v>
      </c>
      <c r="BI351" s="41" t="str">
        <f t="shared" si="306"/>
        <v>-2,57777293871759+1,37534777265314i</v>
      </c>
      <c r="BJ351" s="20">
        <f t="shared" si="354"/>
        <v>9.312795810971437</v>
      </c>
      <c r="BK351" s="43">
        <f t="shared" si="307"/>
        <v>151.91824655801497</v>
      </c>
      <c r="BL351">
        <f t="shared" si="355"/>
        <v>0.26661325385283002</v>
      </c>
      <c r="BM351" s="43">
        <f t="shared" si="356"/>
        <v>129.16810687656428</v>
      </c>
    </row>
    <row r="352" spans="14:65" x14ac:dyDescent="0.25">
      <c r="N352" s="9">
        <v>34</v>
      </c>
      <c r="O352" s="34">
        <f t="shared" si="308"/>
        <v>21877.61623949555</v>
      </c>
      <c r="P352" s="33" t="str">
        <f t="shared" si="309"/>
        <v>54,631621870174</v>
      </c>
      <c r="Q352" s="4" t="str">
        <f t="shared" si="310"/>
        <v>1+547,868483472538i</v>
      </c>
      <c r="R352" s="4">
        <f t="shared" si="322"/>
        <v>547.86939609956187</v>
      </c>
      <c r="S352" s="4">
        <f t="shared" si="323"/>
        <v>1.5689710732538558</v>
      </c>
      <c r="T352" s="4" t="str">
        <f t="shared" si="311"/>
        <v>1+6,8730558456056i</v>
      </c>
      <c r="U352" s="4">
        <f t="shared" si="324"/>
        <v>6.9454227126081607</v>
      </c>
      <c r="V352" s="4">
        <f t="shared" si="325"/>
        <v>1.4263144569512911</v>
      </c>
      <c r="W352" t="str">
        <f t="shared" si="312"/>
        <v>1-0,547004361927122i</v>
      </c>
      <c r="X352" s="4">
        <f t="shared" si="326"/>
        <v>1.1398305891523082</v>
      </c>
      <c r="Y352" s="4">
        <f t="shared" si="327"/>
        <v>-0.50054038796365841</v>
      </c>
      <c r="Z352" t="str">
        <f t="shared" si="313"/>
        <v>0,998085479630709+0,075153975134192i</v>
      </c>
      <c r="AA352" s="4">
        <f t="shared" si="328"/>
        <v>1.0009109573923813</v>
      </c>
      <c r="AB352" s="4">
        <f t="shared" si="329"/>
        <v>7.5156308428913757E-2</v>
      </c>
      <c r="AC352" s="47" t="str">
        <f t="shared" si="330"/>
        <v>0,5938030475106-0,519078100358045i</v>
      </c>
      <c r="AD352" s="20">
        <f t="shared" si="331"/>
        <v>-2.061788013905594</v>
      </c>
      <c r="AE352" s="43">
        <f t="shared" si="332"/>
        <v>-41.158613016672795</v>
      </c>
      <c r="AF352" t="str">
        <f t="shared" si="314"/>
        <v>171,265703090588</v>
      </c>
      <c r="AG352" t="str">
        <f t="shared" si="315"/>
        <v>1+542,625372532837i</v>
      </c>
      <c r="AH352">
        <f t="shared" si="333"/>
        <v>542.62629397809337</v>
      </c>
      <c r="AI352">
        <f t="shared" si="334"/>
        <v>1.5689534368038687</v>
      </c>
      <c r="AJ352" t="str">
        <f t="shared" si="316"/>
        <v>1+6,8730558456056i</v>
      </c>
      <c r="AK352">
        <f t="shared" si="335"/>
        <v>6.9454227126081607</v>
      </c>
      <c r="AL352">
        <f t="shared" si="336"/>
        <v>1.4263144569512911</v>
      </c>
      <c r="AM352" t="str">
        <f t="shared" si="317"/>
        <v>1-0,172817574343684i</v>
      </c>
      <c r="AN352">
        <f t="shared" si="337"/>
        <v>1.0148230949293748</v>
      </c>
      <c r="AO352">
        <f t="shared" si="338"/>
        <v>-0.17112730968424369</v>
      </c>
      <c r="AP352" s="41" t="str">
        <f t="shared" si="339"/>
        <v>2,11602275672598-0,68661825425417i</v>
      </c>
      <c r="AQ352">
        <f t="shared" si="340"/>
        <v>6.945171847623735</v>
      </c>
      <c r="AR352" s="43">
        <f t="shared" si="341"/>
        <v>-17.97748414393962</v>
      </c>
      <c r="AS352" t="str">
        <f t="shared" si="318"/>
        <v>-0,0000166666666666667</v>
      </c>
      <c r="AT352" t="str">
        <f t="shared" si="319"/>
        <v>0,000455546141446739i</v>
      </c>
      <c r="AU352">
        <f t="shared" si="342"/>
        <v>4.5554614144673901E-4</v>
      </c>
      <c r="AV352">
        <f t="shared" si="343"/>
        <v>1.5707963267948966</v>
      </c>
      <c r="AW352" t="str">
        <f t="shared" si="320"/>
        <v>1+0,153306061589368i</v>
      </c>
      <c r="AX352">
        <f t="shared" si="344"/>
        <v>1.0116831265371797</v>
      </c>
      <c r="AY352">
        <f t="shared" si="345"/>
        <v>0.15212168104057966</v>
      </c>
      <c r="AZ352" t="str">
        <f t="shared" si="321"/>
        <v>1+36,2897348647975i</v>
      </c>
      <c r="BA352">
        <f t="shared" si="346"/>
        <v>36.303510251176803</v>
      </c>
      <c r="BB352">
        <f t="shared" si="347"/>
        <v>1.5432472965277755</v>
      </c>
      <c r="BC352" s="41" t="str">
        <f t="shared" si="348"/>
        <v>-1,29173252490349+0,23461654792999i</v>
      </c>
      <c r="BD352">
        <f t="shared" si="349"/>
        <v>2.3644098064234189</v>
      </c>
      <c r="BE352" s="43">
        <f t="shared" si="350"/>
        <v>169.70562653995529</v>
      </c>
      <c r="BF352" s="41" t="str">
        <f t="shared" si="351"/>
        <v>-0,645250397844193+0,80982608635485i</v>
      </c>
      <c r="BG352" s="20">
        <f t="shared" si="352"/>
        <v>0.30262179251782823</v>
      </c>
      <c r="BH352" s="43">
        <f t="shared" si="353"/>
        <v>128.54701352328249</v>
      </c>
      <c r="BI352" s="41" t="str">
        <f t="shared" si="306"/>
        <v>-2,57224341374006+1,38338108573692i</v>
      </c>
      <c r="BJ352" s="20">
        <f t="shared" si="354"/>
        <v>9.3095816540471485</v>
      </c>
      <c r="BK352" s="43">
        <f t="shared" si="307"/>
        <v>151.72814239601556</v>
      </c>
      <c r="BL352">
        <f t="shared" si="355"/>
        <v>0.30262179251782823</v>
      </c>
      <c r="BM352" s="43">
        <f t="shared" si="356"/>
        <v>128.54701352328249</v>
      </c>
    </row>
    <row r="353" spans="14:65" x14ac:dyDescent="0.25">
      <c r="N353" s="9">
        <v>35</v>
      </c>
      <c r="O353" s="34">
        <f t="shared" si="308"/>
        <v>22387.211385683382</v>
      </c>
      <c r="P353" s="33" t="str">
        <f t="shared" si="309"/>
        <v>54,631621870174</v>
      </c>
      <c r="Q353" s="4" t="str">
        <f t="shared" si="310"/>
        <v>1+560,62997982893i</v>
      </c>
      <c r="R353" s="4">
        <f t="shared" si="322"/>
        <v>560.63087168206005</v>
      </c>
      <c r="S353" s="4">
        <f t="shared" si="323"/>
        <v>1.569012621007758</v>
      </c>
      <c r="T353" s="4" t="str">
        <f t="shared" si="311"/>
        <v>1+7,03314988236245i</v>
      </c>
      <c r="U353" s="4">
        <f t="shared" si="324"/>
        <v>7.1038860680457807</v>
      </c>
      <c r="V353" s="4">
        <f t="shared" si="325"/>
        <v>1.4295592069951746</v>
      </c>
      <c r="W353" t="str">
        <f t="shared" si="312"/>
        <v>1-0,559745730307027i</v>
      </c>
      <c r="X353" s="4">
        <f t="shared" si="326"/>
        <v>1.14599968699688</v>
      </c>
      <c r="Y353" s="4">
        <f t="shared" si="327"/>
        <v>-0.51029473387247215</v>
      </c>
      <c r="Z353" t="str">
        <f t="shared" si="313"/>
        <v>0,997995251065491+0,0769045360968604i</v>
      </c>
      <c r="AA353" s="4">
        <f t="shared" si="328"/>
        <v>1.0009539593915127</v>
      </c>
      <c r="AB353" s="4">
        <f t="shared" si="329"/>
        <v>7.6907033360598731E-2</v>
      </c>
      <c r="AC353" s="47" t="str">
        <f t="shared" si="330"/>
        <v>0,592361768389484-0,526557410422335i</v>
      </c>
      <c r="AD353" s="20">
        <f t="shared" si="331"/>
        <v>-2.0193306066247949</v>
      </c>
      <c r="AE353" s="43">
        <f t="shared" si="332"/>
        <v>-41.634275046689929</v>
      </c>
      <c r="AF353" t="str">
        <f t="shared" si="314"/>
        <v>171,265703090588</v>
      </c>
      <c r="AG353" t="str">
        <f t="shared" si="315"/>
        <v>1+555,264741146583i</v>
      </c>
      <c r="AH353">
        <f t="shared" si="333"/>
        <v>555.26564161721888</v>
      </c>
      <c r="AI353">
        <f t="shared" si="334"/>
        <v>1.5689953860097756</v>
      </c>
      <c r="AJ353" t="str">
        <f t="shared" si="316"/>
        <v>1+7,03314988236245i</v>
      </c>
      <c r="AK353">
        <f t="shared" si="335"/>
        <v>7.1038860680457807</v>
      </c>
      <c r="AL353">
        <f t="shared" si="336"/>
        <v>1.4295592069951746</v>
      </c>
      <c r="AM353" t="str">
        <f t="shared" si="317"/>
        <v>1-0,17684301276885i</v>
      </c>
      <c r="AN353">
        <f t="shared" si="337"/>
        <v>1.0155163470693929</v>
      </c>
      <c r="AO353">
        <f t="shared" si="338"/>
        <v>-0.17503335278639157</v>
      </c>
      <c r="AP353" s="41" t="str">
        <f t="shared" si="339"/>
        <v>2,11599690118441-0,688254977354964i</v>
      </c>
      <c r="AQ353">
        <f t="shared" si="340"/>
        <v>6.9470501374938722</v>
      </c>
      <c r="AR353" s="43">
        <f t="shared" si="341"/>
        <v>-18.017776957651861</v>
      </c>
      <c r="AS353" t="str">
        <f t="shared" si="318"/>
        <v>-0,0000166666666666667</v>
      </c>
      <c r="AT353" t="str">
        <f t="shared" si="319"/>
        <v>0,000466157174202984i</v>
      </c>
      <c r="AU353">
        <f t="shared" si="342"/>
        <v>4.6615717420298399E-4</v>
      </c>
      <c r="AV353">
        <f t="shared" si="343"/>
        <v>1.5707963267948966</v>
      </c>
      <c r="AW353" t="str">
        <f t="shared" si="320"/>
        <v>1+0,156877018498561i</v>
      </c>
      <c r="AX353">
        <f t="shared" si="344"/>
        <v>1.0122304080262545</v>
      </c>
      <c r="AY353">
        <f t="shared" si="345"/>
        <v>0.15560875857126208</v>
      </c>
      <c r="AZ353" t="str">
        <f t="shared" si="321"/>
        <v>1+37,1350313788737i</v>
      </c>
      <c r="BA353">
        <f t="shared" si="346"/>
        <v>37.148493314129638</v>
      </c>
      <c r="BB353">
        <f t="shared" si="347"/>
        <v>1.5438740825206838</v>
      </c>
      <c r="BC353" s="41" t="str">
        <f t="shared" si="348"/>
        <v>-1,29033610333084+0,238177400852614i</v>
      </c>
      <c r="BD353">
        <f t="shared" si="349"/>
        <v>2.3595640333616084</v>
      </c>
      <c r="BE353" s="43">
        <f t="shared" si="350"/>
        <v>169.5417439066639</v>
      </c>
      <c r="BF353" s="41" t="str">
        <f t="shared" si="351"/>
        <v>-0,638931700571777+0,820523223503799i</v>
      </c>
      <c r="BG353" s="20">
        <f t="shared" si="352"/>
        <v>0.34023342673681017</v>
      </c>
      <c r="BH353" s="43">
        <f t="shared" si="353"/>
        <v>127.90746885997395</v>
      </c>
      <c r="BI353" s="41" t="str">
        <f t="shared" si="306"/>
        <v>-2,56642041450414+1,39206288771455i</v>
      </c>
      <c r="BJ353" s="20">
        <f t="shared" si="354"/>
        <v>9.3066141708554682</v>
      </c>
      <c r="BK353" s="43">
        <f t="shared" si="307"/>
        <v>151.52396694901194</v>
      </c>
      <c r="BL353">
        <f t="shared" si="355"/>
        <v>0.34023342673681017</v>
      </c>
      <c r="BM353" s="43">
        <f t="shared" si="356"/>
        <v>127.90746885997395</v>
      </c>
    </row>
    <row r="354" spans="14:65" x14ac:dyDescent="0.25">
      <c r="N354" s="9">
        <v>36</v>
      </c>
      <c r="O354" s="34">
        <f t="shared" si="308"/>
        <v>22908.676527677751</v>
      </c>
      <c r="P354" s="33" t="str">
        <f t="shared" si="309"/>
        <v>54,631621870174</v>
      </c>
      <c r="Q354" s="4" t="str">
        <f t="shared" si="310"/>
        <v>1+573,688729621448i</v>
      </c>
      <c r="R354" s="4">
        <f t="shared" si="322"/>
        <v>573.68960117355346</v>
      </c>
      <c r="S354" s="4">
        <f t="shared" si="323"/>
        <v>1.5690532230252687</v>
      </c>
      <c r="T354" s="4" t="str">
        <f t="shared" si="311"/>
        <v>1+7,19697298828175i</v>
      </c>
      <c r="U354" s="4">
        <f t="shared" si="324"/>
        <v>7.2661145183693003</v>
      </c>
      <c r="V354" s="4">
        <f t="shared" si="325"/>
        <v>1.4327329931306212</v>
      </c>
      <c r="W354" t="str">
        <f t="shared" si="312"/>
        <v>1-0,572783883282257i</v>
      </c>
      <c r="X354" s="4">
        <f t="shared" si="326"/>
        <v>1.1524241306688707</v>
      </c>
      <c r="Y354" s="4">
        <f t="shared" si="327"/>
        <v>-0.52016721437413549</v>
      </c>
      <c r="Z354" t="str">
        <f t="shared" si="313"/>
        <v>0,997900770159001+0,07869587286252i</v>
      </c>
      <c r="AA354" s="4">
        <f t="shared" si="328"/>
        <v>1.0009989947495059</v>
      </c>
      <c r="AB354" s="4">
        <f t="shared" si="329"/>
        <v>7.8698545467955738E-2</v>
      </c>
      <c r="AC354" s="47" t="str">
        <f t="shared" si="330"/>
        <v>0,590853563650048-0,534309168091956i</v>
      </c>
      <c r="AD354" s="20">
        <f t="shared" si="331"/>
        <v>-1.9750388731373183</v>
      </c>
      <c r="AE354" s="43">
        <f t="shared" si="332"/>
        <v>-42.123054369063382</v>
      </c>
      <c r="AF354" t="str">
        <f t="shared" si="314"/>
        <v>171,265703090588</v>
      </c>
      <c r="AG354" t="str">
        <f t="shared" si="315"/>
        <v>1+568,198518475889i</v>
      </c>
      <c r="AH354">
        <f t="shared" si="333"/>
        <v>568.19939844934299</v>
      </c>
      <c r="AI354">
        <f t="shared" si="334"/>
        <v>1.5690363803413021</v>
      </c>
      <c r="AJ354" t="str">
        <f t="shared" si="316"/>
        <v>1+7,19697298828175i</v>
      </c>
      <c r="AK354">
        <f t="shared" si="335"/>
        <v>7.2661145183693003</v>
      </c>
      <c r="AL354">
        <f t="shared" si="336"/>
        <v>1.4327329931306212</v>
      </c>
      <c r="AM354" t="str">
        <f t="shared" si="317"/>
        <v>1-0,180962215700181i</v>
      </c>
      <c r="AN354">
        <f t="shared" si="337"/>
        <v>1.0162417643017427</v>
      </c>
      <c r="AO354">
        <f t="shared" si="338"/>
        <v>-0.17902479993626255</v>
      </c>
      <c r="AP354" s="41" t="str">
        <f t="shared" si="339"/>
        <v>2,11597220932652-0,690256618162302i</v>
      </c>
      <c r="AQ354">
        <f t="shared" si="340"/>
        <v>6.9493781914612294</v>
      </c>
      <c r="AR354" s="43">
        <f t="shared" si="341"/>
        <v>-18.066974285031247</v>
      </c>
      <c r="AS354" t="str">
        <f t="shared" si="318"/>
        <v>-0,0000166666666666667</v>
      </c>
      <c r="AT354" t="str">
        <f t="shared" si="319"/>
        <v>0,000477015369663313i</v>
      </c>
      <c r="AU354">
        <f t="shared" si="342"/>
        <v>4.7701536966331299E-4</v>
      </c>
      <c r="AV354">
        <f t="shared" si="343"/>
        <v>1.5707963267948966</v>
      </c>
      <c r="AW354" t="str">
        <f t="shared" si="320"/>
        <v>1+0,160531153679477i</v>
      </c>
      <c r="AX354">
        <f t="shared" si="344"/>
        <v>1.0128031651321316</v>
      </c>
      <c r="AY354">
        <f t="shared" si="345"/>
        <v>0.15917311478244964</v>
      </c>
      <c r="AZ354" t="str">
        <f t="shared" si="321"/>
        <v>1+38,0000173781276i</v>
      </c>
      <c r="BA354">
        <f t="shared" si="346"/>
        <v>38.013172989609792</v>
      </c>
      <c r="BB354">
        <f t="shared" si="347"/>
        <v>1.5444866215683548</v>
      </c>
      <c r="BC354" s="41" t="str">
        <f t="shared" si="348"/>
        <v>-1,28887710275647+0,241844403432024i</v>
      </c>
      <c r="BD354">
        <f t="shared" si="349"/>
        <v>2.3545089859364716</v>
      </c>
      <c r="BE354" s="43">
        <f t="shared" si="350"/>
        <v>169.37261724130005</v>
      </c>
      <c r="BF354" s="41" t="str">
        <f t="shared" si="351"/>
        <v>-0,632317947265149+0,831553480163211i</v>
      </c>
      <c r="BG354" s="20">
        <f t="shared" si="352"/>
        <v>0.37947011279914794</v>
      </c>
      <c r="BH354" s="43">
        <f t="shared" si="353"/>
        <v>127.24956287223667</v>
      </c>
      <c r="BI354" s="41" t="str">
        <f t="shared" si="306"/>
        <v>-2,5602934306355+1,40139198681882i</v>
      </c>
      <c r="BJ354" s="20">
        <f t="shared" si="354"/>
        <v>9.3038871773976908</v>
      </c>
      <c r="BK354" s="43">
        <f t="shared" si="307"/>
        <v>151.3056429562688</v>
      </c>
      <c r="BL354">
        <f t="shared" si="355"/>
        <v>0.37947011279914794</v>
      </c>
      <c r="BM354" s="43">
        <f t="shared" si="356"/>
        <v>127.24956287223667</v>
      </c>
    </row>
    <row r="355" spans="14:65" x14ac:dyDescent="0.25">
      <c r="N355" s="9">
        <v>37</v>
      </c>
      <c r="O355" s="34">
        <f t="shared" si="308"/>
        <v>23442.288153199243</v>
      </c>
      <c r="P355" s="33" t="str">
        <f t="shared" si="309"/>
        <v>54,631621870174</v>
      </c>
      <c r="Q355" s="4" t="str">
        <f t="shared" si="310"/>
        <v>1+587,051656772076i</v>
      </c>
      <c r="R355" s="4">
        <f t="shared" si="322"/>
        <v>587.05250848526259</v>
      </c>
      <c r="S355" s="4">
        <f t="shared" si="323"/>
        <v>1.5690929008335794</v>
      </c>
      <c r="T355" s="4" t="str">
        <f t="shared" si="311"/>
        <v>1+7,3646120245426i</v>
      </c>
      <c r="U355" s="4">
        <f t="shared" si="324"/>
        <v>7.432194176152656</v>
      </c>
      <c r="V355" s="4">
        <f t="shared" si="325"/>
        <v>1.4358372422526975</v>
      </c>
      <c r="W355" t="str">
        <f t="shared" si="312"/>
        <v>1-0,586125733854092i</v>
      </c>
      <c r="X355" s="4">
        <f t="shared" si="326"/>
        <v>1.1591131851057506</v>
      </c>
      <c r="Y355" s="4">
        <f t="shared" si="327"/>
        <v>-0.53015536547953657</v>
      </c>
      <c r="Z355" t="str">
        <f t="shared" si="313"/>
        <v>0,997801836504569+0,080528935221634i</v>
      </c>
      <c r="AA355" s="4">
        <f t="shared" si="328"/>
        <v>1.0010461599445954</v>
      </c>
      <c r="AB355" s="4">
        <f t="shared" si="329"/>
        <v>8.0531795311655052E-2</v>
      </c>
      <c r="AC355" s="47" t="str">
        <f t="shared" si="330"/>
        <v>0,589275270086905-0,54233700242836i</v>
      </c>
      <c r="AD355" s="20">
        <f t="shared" si="331"/>
        <v>-1.9288812933672639</v>
      </c>
      <c r="AE355" s="43">
        <f t="shared" si="332"/>
        <v>-42.624783749083207</v>
      </c>
      <c r="AF355" t="str">
        <f t="shared" si="314"/>
        <v>171,265703090588</v>
      </c>
      <c r="AG355" t="str">
        <f t="shared" si="315"/>
        <v>1+581,433562180685i</v>
      </c>
      <c r="AH355">
        <f t="shared" si="333"/>
        <v>581.43442212352772</v>
      </c>
      <c r="AI355">
        <f t="shared" si="334"/>
        <v>1.569076441533634</v>
      </c>
      <c r="AJ355" t="str">
        <f t="shared" si="316"/>
        <v>1+7,3646120245426i</v>
      </c>
      <c r="AK355">
        <f t="shared" si="335"/>
        <v>7.432194176152656</v>
      </c>
      <c r="AL355">
        <f t="shared" si="336"/>
        <v>1.4358372422526975</v>
      </c>
      <c r="AM355" t="str">
        <f t="shared" si="317"/>
        <v>1-0,185177367193593i</v>
      </c>
      <c r="AN355">
        <f t="shared" si="337"/>
        <v>1.0170008148083023</v>
      </c>
      <c r="AO355">
        <f t="shared" si="338"/>
        <v>-0.18310325847753936</v>
      </c>
      <c r="AP355" s="41" t="str">
        <f t="shared" si="339"/>
        <v>2,11594862877857-0,692624238252471i</v>
      </c>
      <c r="AQ355">
        <f t="shared" si="340"/>
        <v>6.9521602199663519</v>
      </c>
      <c r="AR355" s="43">
        <f t="shared" si="341"/>
        <v>-18.125087710356286</v>
      </c>
      <c r="AS355" t="str">
        <f t="shared" si="318"/>
        <v>-0,0000166666666666667</v>
      </c>
      <c r="AT355" t="str">
        <f t="shared" si="319"/>
        <v>0,000488126484986682i</v>
      </c>
      <c r="AU355">
        <f t="shared" si="342"/>
        <v>4.8812648498668202E-4</v>
      </c>
      <c r="AV355">
        <f t="shared" si="343"/>
        <v>1.5707963267948966</v>
      </c>
      <c r="AW355" t="str">
        <f t="shared" si="320"/>
        <v>1+0,164270404602954i</v>
      </c>
      <c r="AX355">
        <f t="shared" si="344"/>
        <v>1.013402568493103</v>
      </c>
      <c r="AY355">
        <f t="shared" si="345"/>
        <v>0.16281627708712632</v>
      </c>
      <c r="AZ355" t="str">
        <f t="shared" si="321"/>
        <v>1+38,8851514895849i</v>
      </c>
      <c r="BA355">
        <f t="shared" si="346"/>
        <v>38.898007742916171</v>
      </c>
      <c r="BB355">
        <f t="shared" si="347"/>
        <v>1.545085236607429</v>
      </c>
      <c r="BC355" s="41" t="str">
        <f t="shared" si="348"/>
        <v>-1,28735287375465+0,245618133060579i</v>
      </c>
      <c r="BD355">
        <f t="shared" si="349"/>
        <v>2.3492346984992403</v>
      </c>
      <c r="BE355" s="43">
        <f t="shared" si="350"/>
        <v>169.19817753245292</v>
      </c>
      <c r="BF355" s="41" t="str">
        <f t="shared" si="351"/>
        <v>-0,6253974103528+0,842915790317146i</v>
      </c>
      <c r="BG355" s="20">
        <f t="shared" si="352"/>
        <v>0.42035340513197661</v>
      </c>
      <c r="BH355" s="43">
        <f t="shared" si="353"/>
        <v>126.57339378336972</v>
      </c>
      <c r="BI355" s="41" t="str">
        <f t="shared" si="306"/>
        <v>-2,55385147566323+1,41136715539913i</v>
      </c>
      <c r="BJ355" s="20">
        <f t="shared" si="354"/>
        <v>9.3013949184656042</v>
      </c>
      <c r="BK355" s="43">
        <f t="shared" si="307"/>
        <v>151.07308982209668</v>
      </c>
      <c r="BL355">
        <f t="shared" si="355"/>
        <v>0.42035340513197661</v>
      </c>
      <c r="BM355" s="43">
        <f t="shared" si="356"/>
        <v>126.57339378336972</v>
      </c>
    </row>
    <row r="356" spans="14:65" x14ac:dyDescent="0.25">
      <c r="N356" s="9">
        <v>38</v>
      </c>
      <c r="O356" s="34">
        <f t="shared" si="308"/>
        <v>23988.329190194923</v>
      </c>
      <c r="P356" s="33" t="str">
        <f t="shared" si="309"/>
        <v>54,631621870174</v>
      </c>
      <c r="Q356" s="4" t="str">
        <f t="shared" si="310"/>
        <v>1+600,725846481671i</v>
      </c>
      <c r="R356" s="4">
        <f t="shared" si="322"/>
        <v>600.72667880752579</v>
      </c>
      <c r="S356" s="4">
        <f t="shared" si="323"/>
        <v>1.5691316754698894</v>
      </c>
      <c r="T356" s="4" t="str">
        <f t="shared" si="311"/>
        <v>1+7,536155875581i</v>
      </c>
      <c r="U356" s="4">
        <f t="shared" si="324"/>
        <v>7.6022131896608913</v>
      </c>
      <c r="V356" s="4">
        <f t="shared" si="325"/>
        <v>1.4388733608400732</v>
      </c>
      <c r="W356" t="str">
        <f t="shared" si="312"/>
        <v>1-0,599778356048305i</v>
      </c>
      <c r="X356" s="4">
        <f t="shared" si="326"/>
        <v>1.1660763595854293</v>
      </c>
      <c r="Y356" s="4">
        <f t="shared" si="327"/>
        <v>-0.54025651084035975</v>
      </c>
      <c r="Z356" t="str">
        <f t="shared" si="313"/>
        <v>0,997698240250651+0,0824046950881286i</v>
      </c>
      <c r="AA356" s="4">
        <f t="shared" si="328"/>
        <v>1.0010955560643615</v>
      </c>
      <c r="AB356" s="4">
        <f t="shared" si="329"/>
        <v>8.2407755625660065E-2</v>
      </c>
      <c r="AC356" s="47" t="str">
        <f t="shared" si="330"/>
        <v>0,587623579292369-0,550644654561663i</v>
      </c>
      <c r="AD356" s="20">
        <f t="shared" si="331"/>
        <v>-1.8808264866544073</v>
      </c>
      <c r="AE356" s="43">
        <f t="shared" si="332"/>
        <v>-43.139286196887809</v>
      </c>
      <c r="AF356" t="str">
        <f t="shared" si="314"/>
        <v>171,265703090588</v>
      </c>
      <c r="AG356" t="str">
        <f t="shared" si="315"/>
        <v>1+594,976889656329i</v>
      </c>
      <c r="AH356">
        <f t="shared" si="333"/>
        <v>594.97773002451072</v>
      </c>
      <c r="AI356">
        <f t="shared" si="334"/>
        <v>1.5691155908272307</v>
      </c>
      <c r="AJ356" t="str">
        <f t="shared" si="316"/>
        <v>1+7,536155875581i</v>
      </c>
      <c r="AK356">
        <f t="shared" si="335"/>
        <v>7.6022131896608913</v>
      </c>
      <c r="AL356">
        <f t="shared" si="336"/>
        <v>1.4388733608400732</v>
      </c>
      <c r="AM356" t="str">
        <f t="shared" si="317"/>
        <v>1-0,189490702178204i</v>
      </c>
      <c r="AN356">
        <f t="shared" si="337"/>
        <v>1.0177950315323752</v>
      </c>
      <c r="AO356">
        <f t="shared" si="338"/>
        <v>-0.18727034787341296</v>
      </c>
      <c r="AP356" s="41" t="str">
        <f t="shared" si="339"/>
        <v>2,11592610952399-0,69535909323014i</v>
      </c>
      <c r="AQ356">
        <f t="shared" si="340"/>
        <v>6.9554012452303802</v>
      </c>
      <c r="AR356" s="43">
        <f t="shared" si="341"/>
        <v>-18.192130653729578</v>
      </c>
      <c r="AS356" t="str">
        <f t="shared" si="318"/>
        <v>-0,0000166666666666667</v>
      </c>
      <c r="AT356" t="str">
        <f t="shared" si="319"/>
        <v>0,000499496411433508i</v>
      </c>
      <c r="AU356">
        <f t="shared" si="342"/>
        <v>4.9949641143350802E-4</v>
      </c>
      <c r="AV356">
        <f t="shared" si="343"/>
        <v>1.5707963267948966</v>
      </c>
      <c r="AW356" t="str">
        <f t="shared" si="320"/>
        <v>1+0,168096753869326i</v>
      </c>
      <c r="AX356">
        <f t="shared" si="344"/>
        <v>1.0140298411099176</v>
      </c>
      <c r="AY356">
        <f t="shared" si="345"/>
        <v>0.16653979010681649</v>
      </c>
      <c r="AZ356" t="str">
        <f t="shared" si="321"/>
        <v>1+39,7909030230677i</v>
      </c>
      <c r="BA356">
        <f t="shared" si="346"/>
        <v>39.803466725791331</v>
      </c>
      <c r="BB356">
        <f t="shared" si="347"/>
        <v>1.5456702433144796</v>
      </c>
      <c r="BC356" s="41" t="str">
        <f t="shared" si="348"/>
        <v>-1,28576066924679+0,249499134505287i</v>
      </c>
      <c r="BD356">
        <f t="shared" si="349"/>
        <v>2.3437308107073345</v>
      </c>
      <c r="BE356" s="43">
        <f t="shared" si="350"/>
        <v>169.01835436676356</v>
      </c>
      <c r="BF356" s="41" t="str">
        <f t="shared" si="351"/>
        <v>-0,618157921843053+0,854608814014716i</v>
      </c>
      <c r="BG356" s="20">
        <f t="shared" si="352"/>
        <v>0.46290432405292464</v>
      </c>
      <c r="BH356" s="43">
        <f t="shared" si="353"/>
        <v>125.87906816987575</v>
      </c>
      <c r="BI356" s="41" t="str">
        <f t="shared" si="306"/>
        <v>-2,54708307872702+1,4219871060818i</v>
      </c>
      <c r="BJ356" s="20">
        <f t="shared" si="354"/>
        <v>9.2991320559377115</v>
      </c>
      <c r="BK356" s="43">
        <f t="shared" si="307"/>
        <v>150.82622371303398</v>
      </c>
      <c r="BL356">
        <f t="shared" si="355"/>
        <v>0.46290432405292464</v>
      </c>
      <c r="BM356" s="43">
        <f t="shared" si="356"/>
        <v>125.87906816987575</v>
      </c>
    </row>
    <row r="357" spans="14:65" x14ac:dyDescent="0.25">
      <c r="N357" s="9">
        <v>39</v>
      </c>
      <c r="O357" s="34">
        <f t="shared" si="308"/>
        <v>24547.089156850321</v>
      </c>
      <c r="P357" s="33" t="str">
        <f t="shared" si="309"/>
        <v>54,631621870174</v>
      </c>
      <c r="Q357" s="4" t="str">
        <f t="shared" si="310"/>
        <v>1+614,718548986616i</v>
      </c>
      <c r="R357" s="4">
        <f t="shared" si="322"/>
        <v>614.7193623664466</v>
      </c>
      <c r="S357" s="4">
        <f t="shared" si="323"/>
        <v>1.5691695674925572</v>
      </c>
      <c r="T357" s="4" t="str">
        <f t="shared" si="311"/>
        <v>1+7,71169549621745i</v>
      </c>
      <c r="U357" s="4">
        <f t="shared" si="324"/>
        <v>7.7762617899849857</v>
      </c>
      <c r="V357" s="4">
        <f t="shared" si="325"/>
        <v>1.4418427346687916</v>
      </c>
      <c r="W357" t="str">
        <f t="shared" si="312"/>
        <v>1-0,6137489886659i</v>
      </c>
      <c r="X357" s="4">
        <f t="shared" si="326"/>
        <v>1.1733234085657778</v>
      </c>
      <c r="Y357" s="4">
        <f t="shared" si="327"/>
        <v>-0.55046776047613954</v>
      </c>
      <c r="Z357" t="str">
        <f t="shared" si="313"/>
        <v>0,997589761655703+0,0843241470147141i</v>
      </c>
      <c r="AA357" s="4">
        <f t="shared" si="328"/>
        <v>1.0011472890289628</v>
      </c>
      <c r="AB357" s="4">
        <f t="shared" si="329"/>
        <v>8.432742183547362E-2</v>
      </c>
      <c r="AC357" s="47" t="str">
        <f t="shared" si="330"/>
        <v>0,585895030973511-0,559235977233898i</v>
      </c>
      <c r="AD357" s="20">
        <f t="shared" si="331"/>
        <v>-1.8308433317756079</v>
      </c>
      <c r="AE357" s="43">
        <f t="shared" si="332"/>
        <v>-43.666374941262646</v>
      </c>
      <c r="AF357" t="str">
        <f t="shared" si="314"/>
        <v>171,265703090588</v>
      </c>
      <c r="AG357" t="str">
        <f t="shared" si="315"/>
        <v>1+608,835681754319i</v>
      </c>
      <c r="AH357">
        <f t="shared" si="333"/>
        <v>608.8365029934115</v>
      </c>
      <c r="AI357">
        <f t="shared" si="334"/>
        <v>1.5691538489790859</v>
      </c>
      <c r="AJ357" t="str">
        <f t="shared" si="316"/>
        <v>1+7,71169549621745i</v>
      </c>
      <c r="AK357">
        <f t="shared" si="335"/>
        <v>7.7762617899849857</v>
      </c>
      <c r="AL357">
        <f t="shared" si="336"/>
        <v>1.4418427346687916</v>
      </c>
      <c r="AM357" t="str">
        <f t="shared" si="317"/>
        <v>1-0,193904507641315i</v>
      </c>
      <c r="AN357">
        <f t="shared" si="337"/>
        <v>1.0186260148276307</v>
      </c>
      <c r="AO357">
        <f t="shared" si="338"/>
        <v>-0.19152769840771353</v>
      </c>
      <c r="AP357" s="41" t="str">
        <f t="shared" si="339"/>
        <v>2,11590460379721-0,698462633395343i</v>
      </c>
      <c r="AQ357">
        <f t="shared" si="340"/>
        <v>6.9591071053966704</v>
      </c>
      <c r="AR357" s="43">
        <f t="shared" si="341"/>
        <v>-18.268118313703866</v>
      </c>
      <c r="AS357" t="str">
        <f t="shared" si="318"/>
        <v>-0,0000166666666666667</v>
      </c>
      <c r="AT357" t="str">
        <f t="shared" si="319"/>
        <v>0,000511131177489294i</v>
      </c>
      <c r="AU357">
        <f t="shared" si="342"/>
        <v>5.1113117748929405E-4</v>
      </c>
      <c r="AV357">
        <f t="shared" si="343"/>
        <v>1.5707963267948966</v>
      </c>
      <c r="AW357" t="str">
        <f t="shared" si="320"/>
        <v>1+0,172012230259624i</v>
      </c>
      <c r="AX357">
        <f t="shared" si="344"/>
        <v>1.0146862605549019</v>
      </c>
      <c r="AY357">
        <f t="shared" si="345"/>
        <v>0.17034521489016227</v>
      </c>
      <c r="AZ357" t="str">
        <f t="shared" si="321"/>
        <v>1+40,7177522200281i</v>
      </c>
      <c r="BA357">
        <f t="shared" si="346"/>
        <v>40.730030025174351</v>
      </c>
      <c r="BB357">
        <f t="shared" si="347"/>
        <v>1.5462419502652205</v>
      </c>
      <c r="BC357" s="41" t="str">
        <f t="shared" si="348"/>
        <v>-1,28409764228254+0,253487914795237i</v>
      </c>
      <c r="BD357">
        <f t="shared" si="349"/>
        <v>2.3379865519802827</v>
      </c>
      <c r="BE357" s="43">
        <f t="shared" si="350"/>
        <v>168.83307598281911</v>
      </c>
      <c r="BF357" s="41" t="str">
        <f t="shared" si="351"/>
        <v>-0,610586866150644+0,866630909535987i</v>
      </c>
      <c r="BG357" s="20">
        <f t="shared" si="352"/>
        <v>0.50714322020467728</v>
      </c>
      <c r="BH357" s="43">
        <f t="shared" si="353"/>
        <v>125.16670104155645</v>
      </c>
      <c r="BI357" s="41" t="str">
        <f t="shared" si="306"/>
        <v>-2,53997627652899+1,43325046668761i</v>
      </c>
      <c r="BJ357" s="20">
        <f t="shared" si="354"/>
        <v>9.2970936573769407</v>
      </c>
      <c r="BK357" s="43">
        <f t="shared" si="307"/>
        <v>150.56495766911522</v>
      </c>
      <c r="BL357">
        <f t="shared" si="355"/>
        <v>0.50714322020467728</v>
      </c>
      <c r="BM357" s="43">
        <f t="shared" si="356"/>
        <v>125.16670104155645</v>
      </c>
    </row>
    <row r="358" spans="14:65" x14ac:dyDescent="0.25">
      <c r="N358" s="9">
        <v>40</v>
      </c>
      <c r="O358" s="34">
        <f t="shared" si="308"/>
        <v>25118.86431509586</v>
      </c>
      <c r="P358" s="33" t="str">
        <f t="shared" si="309"/>
        <v>54,631621870174</v>
      </c>
      <c r="Q358" s="4" t="str">
        <f t="shared" si="310"/>
        <v>1+629,037183403i</v>
      </c>
      <c r="R358" s="4">
        <f t="shared" si="322"/>
        <v>629.03797826806874</v>
      </c>
      <c r="S358" s="4">
        <f t="shared" si="323"/>
        <v>1.5692065969919995</v>
      </c>
      <c r="T358" s="4" t="str">
        <f t="shared" si="311"/>
        <v>1+7,8913239598824i</v>
      </c>
      <c r="U358" s="4">
        <f t="shared" si="324"/>
        <v>7.9544323392567771</v>
      </c>
      <c r="V358" s="4">
        <f t="shared" si="325"/>
        <v>1.4447467285770232</v>
      </c>
      <c r="W358" t="str">
        <f t="shared" si="312"/>
        <v>1-0,628045039121218i</v>
      </c>
      <c r="X358" s="4">
        <f t="shared" si="326"/>
        <v>1.1808643322434513</v>
      </c>
      <c r="Y358" s="4">
        <f t="shared" si="327"/>
        <v>-0.56078601029044439</v>
      </c>
      <c r="Z358" t="str">
        <f t="shared" si="313"/>
        <v>0,997476170622079+0,0862883087202094i</v>
      </c>
      <c r="AA358" s="4">
        <f t="shared" si="328"/>
        <v>1.0012014698254699</v>
      </c>
      <c r="AB358" s="4">
        <f t="shared" si="329"/>
        <v>8.6291812588518882E-2</v>
      </c>
      <c r="AC358" s="47" t="str">
        <f t="shared" si="330"/>
        <v>0,584086005979401-0,568114934228413i</v>
      </c>
      <c r="AD358" s="20">
        <f t="shared" si="331"/>
        <v>-1.7789010895373769</v>
      </c>
      <c r="AE358" s="43">
        <f t="shared" si="332"/>
        <v>-44.20585344641016</v>
      </c>
      <c r="AF358" t="str">
        <f t="shared" si="314"/>
        <v>171,265703090588</v>
      </c>
      <c r="AG358" t="str">
        <f t="shared" si="315"/>
        <v>1+623,017286589673i</v>
      </c>
      <c r="AH358">
        <f t="shared" si="333"/>
        <v>623.01808913510581</v>
      </c>
      <c r="AI358">
        <f t="shared" si="334"/>
        <v>1.5691912362737301</v>
      </c>
      <c r="AJ358" t="str">
        <f t="shared" si="316"/>
        <v>1+7,8913239598824i</v>
      </c>
      <c r="AK358">
        <f t="shared" si="335"/>
        <v>7.9544323392567771</v>
      </c>
      <c r="AL358">
        <f t="shared" si="336"/>
        <v>1.4447467285770232</v>
      </c>
      <c r="AM358" t="str">
        <f t="shared" si="317"/>
        <v>1-0,198421123841008i</v>
      </c>
      <c r="AN358">
        <f t="shared" si="337"/>
        <v>1.0194954351964156</v>
      </c>
      <c r="AO358">
        <f t="shared" si="338"/>
        <v>-0.19587694976841932</v>
      </c>
      <c r="AP358" s="41" t="str">
        <f t="shared" si="339"/>
        <v>2,11588406598247-0,701936504513616i</v>
      </c>
      <c r="AQ358">
        <f t="shared" si="340"/>
        <v>6.9632844592579524</v>
      </c>
      <c r="AR358" s="43">
        <f t="shared" si="341"/>
        <v>-18.353067600231014</v>
      </c>
      <c r="AS358" t="str">
        <f t="shared" si="318"/>
        <v>-0,0000166666666666667</v>
      </c>
      <c r="AT358" t="str">
        <f t="shared" si="319"/>
        <v>0,000523036952061005i</v>
      </c>
      <c r="AU358">
        <f t="shared" si="342"/>
        <v>5.2303695206100495E-4</v>
      </c>
      <c r="AV358">
        <f t="shared" si="343"/>
        <v>1.5707963267948966</v>
      </c>
      <c r="AW358" t="str">
        <f t="shared" si="320"/>
        <v>1+0,176018909811257i</v>
      </c>
      <c r="AX358">
        <f t="shared" si="344"/>
        <v>1.0153731612619783</v>
      </c>
      <c r="AY358">
        <f t="shared" si="345"/>
        <v>0.17423412804372992</v>
      </c>
      <c r="AZ358" t="str">
        <f t="shared" si="321"/>
        <v>1+41,666190508179i</v>
      </c>
      <c r="BA358">
        <f t="shared" si="346"/>
        <v>41.678188917752486</v>
      </c>
      <c r="BB358">
        <f t="shared" si="347"/>
        <v>1.5468006590904941</v>
      </c>
      <c r="BC358" s="41" t="str">
        <f t="shared" si="348"/>
        <v>-1,28236084391293+0,257584937811629i</v>
      </c>
      <c r="BD358">
        <f t="shared" si="349"/>
        <v>2.3319907256541668</v>
      </c>
      <c r="BE358" s="43">
        <f t="shared" si="350"/>
        <v>168.64226932989163</v>
      </c>
      <c r="BF358" s="41" t="str">
        <f t="shared" si="351"/>
        <v>-0,602671173542394+0,878980104023533i</v>
      </c>
      <c r="BG358" s="20">
        <f t="shared" si="352"/>
        <v>0.55308963611678874</v>
      </c>
      <c r="BH358" s="43">
        <f t="shared" si="353"/>
        <v>124.4364158834815</v>
      </c>
      <c r="BI358" s="41" t="str">
        <f t="shared" si="306"/>
        <v>-2,53251860561235+1,44515575385408i</v>
      </c>
      <c r="BJ358" s="20">
        <f t="shared" si="354"/>
        <v>9.2952751849121125</v>
      </c>
      <c r="BK358" s="43">
        <f t="shared" si="307"/>
        <v>150.2892017296607</v>
      </c>
      <c r="BL358">
        <f t="shared" si="355"/>
        <v>0.55308963611678874</v>
      </c>
      <c r="BM358" s="43">
        <f t="shared" si="356"/>
        <v>124.4364158834815</v>
      </c>
    </row>
    <row r="359" spans="14:65" x14ac:dyDescent="0.25">
      <c r="N359" s="9">
        <v>41</v>
      </c>
      <c r="O359" s="34">
        <f t="shared" si="308"/>
        <v>25703.95782768865</v>
      </c>
      <c r="P359" s="33" t="str">
        <f t="shared" si="309"/>
        <v>54,631621870174</v>
      </c>
      <c r="Q359" s="4" t="str">
        <f t="shared" si="310"/>
        <v>1+643,689341660312i</v>
      </c>
      <c r="R359" s="4">
        <f t="shared" si="322"/>
        <v>643.69011843206499</v>
      </c>
      <c r="S359" s="4">
        <f t="shared" si="323"/>
        <v>1.5692427836013405</v>
      </c>
      <c r="T359" s="4" t="str">
        <f t="shared" si="311"/>
        <v>1+8,07513650796485i</v>
      </c>
      <c r="U359" s="4">
        <f t="shared" si="324"/>
        <v>8.1368193799706976</v>
      </c>
      <c r="V359" s="4">
        <f t="shared" si="325"/>
        <v>1.4475866862772462</v>
      </c>
      <c r="W359" t="str">
        <f t="shared" si="312"/>
        <v>1-0,642674087369433i</v>
      </c>
      <c r="X359" s="4">
        <f t="shared" si="326"/>
        <v>1.1887093768352859</v>
      </c>
      <c r="Y359" s="4">
        <f t="shared" si="327"/>
        <v>-0.57120794242146167</v>
      </c>
      <c r="Z359" t="str">
        <f t="shared" si="313"/>
        <v>0,99735722620797+0,0882982216291483i</v>
      </c>
      <c r="AA359" s="4">
        <f t="shared" si="328"/>
        <v>1.0012582147538793</v>
      </c>
      <c r="AB359" s="4">
        <f t="shared" si="329"/>
        <v>8.8301970296932972E-2</v>
      </c>
      <c r="AC359" s="47" t="str">
        <f t="shared" si="330"/>
        <v>0,582192719026812-0,577285599672952i</v>
      </c>
      <c r="AD359" s="20">
        <f t="shared" si="331"/>
        <v>-1.724969527456476</v>
      </c>
      <c r="AE359" s="43">
        <f t="shared" si="332"/>
        <v>-44.757515474508729</v>
      </c>
      <c r="AF359" t="str">
        <f t="shared" si="314"/>
        <v>171,265703090588</v>
      </c>
      <c r="AG359" t="str">
        <f t="shared" si="315"/>
        <v>1+637,529223436981i</v>
      </c>
      <c r="AH359">
        <f t="shared" si="333"/>
        <v>637.5300077142723</v>
      </c>
      <c r="AI359">
        <f t="shared" si="334"/>
        <v>1.5692277725339829</v>
      </c>
      <c r="AJ359" t="str">
        <f t="shared" si="316"/>
        <v>1+8,07513650796485i</v>
      </c>
      <c r="AK359">
        <f t="shared" si="335"/>
        <v>8.1368193799706976</v>
      </c>
      <c r="AL359">
        <f t="shared" si="336"/>
        <v>1.4475866862772462</v>
      </c>
      <c r="AM359" t="str">
        <f t="shared" si="317"/>
        <v>1-0,203042945546975i</v>
      </c>
      <c r="AN359">
        <f t="shared" si="337"/>
        <v>1.0204050361186934</v>
      </c>
      <c r="AO359">
        <f t="shared" si="338"/>
        <v>-0.20031974950728279</v>
      </c>
      <c r="AP359" s="41" t="str">
        <f t="shared" si="339"/>
        <v>2,11586445251701-0,705782548689686i</v>
      </c>
      <c r="AQ359">
        <f t="shared" si="340"/>
        <v>6.967940791531789</v>
      </c>
      <c r="AR359" s="43">
        <f t="shared" si="341"/>
        <v>-18.446997057782941</v>
      </c>
      <c r="AS359" t="str">
        <f t="shared" si="318"/>
        <v>-0,0000166666666666667</v>
      </c>
      <c r="AT359" t="str">
        <f t="shared" si="319"/>
        <v>0,00053522004774791i</v>
      </c>
      <c r="AU359">
        <f t="shared" si="342"/>
        <v>5.3522004774791E-4</v>
      </c>
      <c r="AV359">
        <f t="shared" si="343"/>
        <v>1.5707963267948966</v>
      </c>
      <c r="AW359" t="str">
        <f t="shared" si="320"/>
        <v>1+0,180118916918757i</v>
      </c>
      <c r="AX359">
        <f t="shared" si="344"/>
        <v>1.0160919368994059</v>
      </c>
      <c r="AY359">
        <f t="shared" si="345"/>
        <v>0.17820812076969392</v>
      </c>
      <c r="AZ359" t="str">
        <f t="shared" si="321"/>
        <v>1+42,6367207620544i</v>
      </c>
      <c r="BA359">
        <f t="shared" si="346"/>
        <v>42.648446130444199</v>
      </c>
      <c r="BB359">
        <f t="shared" si="347"/>
        <v>1.5473466646290832</v>
      </c>
      <c r="BC359" s="41" t="str">
        <f t="shared" si="348"/>
        <v>-1,28054722117415+0,261790618569246i</v>
      </c>
      <c r="BD359">
        <f t="shared" si="349"/>
        <v>2.3257316928474063</v>
      </c>
      <c r="BE359" s="43">
        <f t="shared" si="350"/>
        <v>168.44586013183016</v>
      </c>
      <c r="BF359" s="41" t="str">
        <f t="shared" si="351"/>
        <v>-0,594397314308107+0,891654062525592i</v>
      </c>
      <c r="BG359" s="20">
        <f t="shared" si="352"/>
        <v>0.60076216539093363</v>
      </c>
      <c r="BH359" s="43">
        <f t="shared" si="353"/>
        <v>123.68834465732142</v>
      </c>
      <c r="BI359" s="41" t="str">
        <f t="shared" si="306"/>
        <v>-2,52469709505497+1,45770134531089i</v>
      </c>
      <c r="BJ359" s="20">
        <f t="shared" si="354"/>
        <v>9.2936724843791918</v>
      </c>
      <c r="BK359" s="43">
        <f t="shared" si="307"/>
        <v>149.99886307404728</v>
      </c>
      <c r="BL359">
        <f t="shared" si="355"/>
        <v>0.60076216539093363</v>
      </c>
      <c r="BM359" s="43">
        <f t="shared" si="356"/>
        <v>123.68834465732142</v>
      </c>
    </row>
    <row r="360" spans="14:65" x14ac:dyDescent="0.25">
      <c r="N360" s="9">
        <v>42</v>
      </c>
      <c r="O360" s="34">
        <f t="shared" si="308"/>
        <v>26302.679918953829</v>
      </c>
      <c r="P360" s="33" t="str">
        <f t="shared" si="309"/>
        <v>54,631621870174</v>
      </c>
      <c r="Q360" s="4" t="str">
        <f t="shared" si="310"/>
        <v>1+658,682792526808i</v>
      </c>
      <c r="R360" s="4">
        <f t="shared" si="322"/>
        <v>658.68355161709781</v>
      </c>
      <c r="S360" s="4">
        <f t="shared" si="323"/>
        <v>1.56927814650682</v>
      </c>
      <c r="T360" s="4" t="str">
        <f t="shared" si="311"/>
        <v>1+8,2632306003109i</v>
      </c>
      <c r="U360" s="4">
        <f t="shared" si="324"/>
        <v>8.3235196854404343</v>
      </c>
      <c r="V360" s="4">
        <f t="shared" si="325"/>
        <v>1.4503639302125046</v>
      </c>
      <c r="W360" t="str">
        <f t="shared" si="312"/>
        <v>1-0,657643889925569i</v>
      </c>
      <c r="X360" s="4">
        <f t="shared" si="326"/>
        <v>1.1968690345883437</v>
      </c>
      <c r="Y360" s="4">
        <f t="shared" si="327"/>
        <v>-0.5817300264681009</v>
      </c>
      <c r="Z360" t="str">
        <f t="shared" si="313"/>
        <v>0,997232676116324+0,0903549514239603i</v>
      </c>
      <c r="AA360" s="4">
        <f t="shared" si="328"/>
        <v>1.0013176456853996</v>
      </c>
      <c r="AB360" s="4">
        <f t="shared" si="329"/>
        <v>9.0358961693066966E-2</v>
      </c>
      <c r="AC360" s="47" t="str">
        <f t="shared" si="330"/>
        <v>0,580211211112442-0,586752157203063i</v>
      </c>
      <c r="AD360" s="20">
        <f t="shared" si="331"/>
        <v>-1.6690190459951981</v>
      </c>
      <c r="AE360" s="43">
        <f t="shared" si="332"/>
        <v>-45.321145196622979</v>
      </c>
      <c r="AF360" t="str">
        <f t="shared" si="314"/>
        <v>171,265703090588</v>
      </c>
      <c r="AG360" t="str">
        <f t="shared" si="315"/>
        <v>1+652,379186717253i</v>
      </c>
      <c r="AH360">
        <f t="shared" si="333"/>
        <v>652.37995314223485</v>
      </c>
      <c r="AI360">
        <f t="shared" si="334"/>
        <v>1.5692634771314633</v>
      </c>
      <c r="AJ360" t="str">
        <f t="shared" si="316"/>
        <v>1+8,2632306003109i</v>
      </c>
      <c r="AK360">
        <f t="shared" si="335"/>
        <v>8.3235196854404343</v>
      </c>
      <c r="AL360">
        <f t="shared" si="336"/>
        <v>1.4503639302125046</v>
      </c>
      <c r="AM360" t="str">
        <f t="shared" si="317"/>
        <v>1-0,207772423310262i</v>
      </c>
      <c r="AN360">
        <f t="shared" si="337"/>
        <v>1.0213566369727172</v>
      </c>
      <c r="AO360">
        <f t="shared" si="338"/>
        <v>-0.20485775136924736</v>
      </c>
      <c r="AP360" s="41" t="str">
        <f t="shared" si="339"/>
        <v>2,11584572179865-0,710002805345189i</v>
      </c>
      <c r="AQ360">
        <f t="shared" si="340"/>
        <v>6.9730844186437215</v>
      </c>
      <c r="AR360" s="43">
        <f t="shared" si="341"/>
        <v>-18.549926778472308</v>
      </c>
      <c r="AS360" t="str">
        <f t="shared" si="318"/>
        <v>-0,0000166666666666667</v>
      </c>
      <c r="AT360" t="str">
        <f t="shared" si="319"/>
        <v>0,000547686924188607i</v>
      </c>
      <c r="AU360">
        <f t="shared" si="342"/>
        <v>5.4768692418860696E-4</v>
      </c>
      <c r="AV360">
        <f t="shared" si="343"/>
        <v>1.5707963267948966</v>
      </c>
      <c r="AW360" t="str">
        <f t="shared" si="320"/>
        <v>1+0,184314425460163i</v>
      </c>
      <c r="AX360">
        <f t="shared" si="344"/>
        <v>1.0168440428269765</v>
      </c>
      <c r="AY360">
        <f t="shared" si="345"/>
        <v>0.18226879780483624</v>
      </c>
      <c r="AZ360" t="str">
        <f t="shared" si="321"/>
        <v>1+43,6298575696415i</v>
      </c>
      <c r="BA360">
        <f t="shared" si="346"/>
        <v>43.641316106955394</v>
      </c>
      <c r="BB360">
        <f t="shared" si="347"/>
        <v>1.5478802550773949</v>
      </c>
      <c r="BC360" s="41" t="str">
        <f t="shared" si="348"/>
        <v>-1,27865361520266+0,266105317178642i</v>
      </c>
      <c r="BD360">
        <f t="shared" si="349"/>
        <v>2.3191973560563115</v>
      </c>
      <c r="BE360" s="43">
        <f t="shared" si="350"/>
        <v>168.24377295642762</v>
      </c>
      <c r="BF360" s="41" t="str">
        <f t="shared" si="351"/>
        <v>-0,585751293772264+0,904650055399336i</v>
      </c>
      <c r="BG360" s="20">
        <f t="shared" si="352"/>
        <v>0.65017831006111093</v>
      </c>
      <c r="BH360" s="43">
        <f t="shared" si="353"/>
        <v>122.92262775980461</v>
      </c>
      <c r="BI360" s="41" t="str">
        <f t="shared" si="306"/>
        <v>-2,51649825967482+1,47088545075896i</v>
      </c>
      <c r="BJ360" s="20">
        <f t="shared" si="354"/>
        <v>9.2922817747000401</v>
      </c>
      <c r="BK360" s="43">
        <f t="shared" si="307"/>
        <v>149.69384617795532</v>
      </c>
      <c r="BL360">
        <f t="shared" si="355"/>
        <v>0.65017831006111093</v>
      </c>
      <c r="BM360" s="43">
        <f t="shared" si="356"/>
        <v>122.92262775980461</v>
      </c>
    </row>
    <row r="361" spans="14:65" x14ac:dyDescent="0.25">
      <c r="N361" s="9">
        <v>43</v>
      </c>
      <c r="O361" s="34">
        <f t="shared" si="308"/>
        <v>26915.348039269167</v>
      </c>
      <c r="P361" s="33" t="str">
        <f t="shared" si="309"/>
        <v>54,631621870174</v>
      </c>
      <c r="Q361" s="4" t="str">
        <f t="shared" si="310"/>
        <v>1+674,025485728602i</v>
      </c>
      <c r="R361" s="4">
        <f t="shared" si="322"/>
        <v>674.02622753990647</v>
      </c>
      <c r="S361" s="4">
        <f t="shared" si="323"/>
        <v>1.5693127044579649</v>
      </c>
      <c r="T361" s="4" t="str">
        <f t="shared" si="311"/>
        <v>1+8,45570596689805i</v>
      </c>
      <c r="U361" s="4">
        <f t="shared" si="324"/>
        <v>8.5146323114175217</v>
      </c>
      <c r="V361" s="4">
        <f t="shared" si="325"/>
        <v>1.453079761453534</v>
      </c>
      <c r="W361" t="str">
        <f t="shared" si="312"/>
        <v>1-0,672962383977092i</v>
      </c>
      <c r="X361" s="4">
        <f t="shared" si="326"/>
        <v>1.2053540435275152</v>
      </c>
      <c r="Y361" s="4">
        <f t="shared" si="327"/>
        <v>-0.59234852162768636</v>
      </c>
      <c r="Z361" t="str">
        <f t="shared" si="313"/>
        <v>0,9971022561597+0,0924595886100067i</v>
      </c>
      <c r="AA361" s="4">
        <f t="shared" si="328"/>
        <v>1.0013798903336815</v>
      </c>
      <c r="AB361" s="4">
        <f t="shared" si="329"/>
        <v>9.2463878397967644E-2</v>
      </c>
      <c r="AC361" s="47" t="str">
        <f t="shared" si="330"/>
        <v>0,57813734159927-0,596518898971381i</v>
      </c>
      <c r="AD361" s="20">
        <f t="shared" si="331"/>
        <v>-1.6110208057731736</v>
      </c>
      <c r="AE361" s="43">
        <f t="shared" si="332"/>
        <v>-45.896517354233154</v>
      </c>
      <c r="AF361" t="str">
        <f t="shared" si="314"/>
        <v>171,265703090588</v>
      </c>
      <c r="AG361" t="str">
        <f t="shared" si="315"/>
        <v>1+667,575050077584i</v>
      </c>
      <c r="AH361">
        <f t="shared" si="333"/>
        <v>667.57579905662305</v>
      </c>
      <c r="AI361">
        <f t="shared" si="334"/>
        <v>1.5692983689968565</v>
      </c>
      <c r="AJ361" t="str">
        <f t="shared" si="316"/>
        <v>1+8,45570596689805i</v>
      </c>
      <c r="AK361">
        <f t="shared" si="335"/>
        <v>8.5146323114175217</v>
      </c>
      <c r="AL361">
        <f t="shared" si="336"/>
        <v>1.453079761453534</v>
      </c>
      <c r="AM361" t="str">
        <f t="shared" si="317"/>
        <v>1-0,212612064762582i</v>
      </c>
      <c r="AN361">
        <f t="shared" si="337"/>
        <v>1.0223521360483423</v>
      </c>
      <c r="AO361">
        <f t="shared" si="338"/>
        <v>-0.20949261348518949</v>
      </c>
      <c r="AP361" s="41" t="str">
        <f t="shared" si="339"/>
        <v>2,11582783409763-0,714599512300955i</v>
      </c>
      <c r="AQ361">
        <f t="shared" si="340"/>
        <v>6.978724494971309</v>
      </c>
      <c r="AR361" s="43">
        <f t="shared" si="341"/>
        <v>-18.661878304986427</v>
      </c>
      <c r="AS361" t="str">
        <f t="shared" si="318"/>
        <v>-0,0000166666666666667</v>
      </c>
      <c r="AT361" t="str">
        <f t="shared" si="319"/>
        <v>0,000560444191486003i</v>
      </c>
      <c r="AU361">
        <f t="shared" si="342"/>
        <v>5.6044419148600295E-4</v>
      </c>
      <c r="AV361">
        <f t="shared" si="343"/>
        <v>1.5707963267948966</v>
      </c>
      <c r="AW361" t="str">
        <f t="shared" si="320"/>
        <v>1+0,188607659949639i</v>
      </c>
      <c r="AX361">
        <f t="shared" si="344"/>
        <v>1.0176309986393293</v>
      </c>
      <c r="AY361">
        <f t="shared" si="345"/>
        <v>0.1864177762551241</v>
      </c>
      <c r="AZ361" t="str">
        <f t="shared" si="321"/>
        <v>1+44,6461275052217i</v>
      </c>
      <c r="BA361">
        <f t="shared" si="346"/>
        <v>44.657325280546232</v>
      </c>
      <c r="BB361">
        <f t="shared" si="347"/>
        <v>1.5484017121360658</v>
      </c>
      <c r="BC361" s="41" t="str">
        <f t="shared" si="348"/>
        <v>-1,27667675950378+0,270529332478761i</v>
      </c>
      <c r="BD361">
        <f t="shared" si="349"/>
        <v>2.3123751424998842</v>
      </c>
      <c r="BE361" s="43">
        <f t="shared" si="350"/>
        <v>168.03593129059453</v>
      </c>
      <c r="BF361" s="41" t="str">
        <f t="shared" si="351"/>
        <v>-0,576718648271393+0,917964924025441i</v>
      </c>
      <c r="BG361" s="20">
        <f t="shared" si="352"/>
        <v>0.70135433672670955</v>
      </c>
      <c r="BH361" s="43">
        <f t="shared" si="353"/>
        <v>122.13941393636138</v>
      </c>
      <c r="BI361" s="41" t="str">
        <f t="shared" si="306"/>
        <v>-2,50790809385124+1,48470608130578i</v>
      </c>
      <c r="BJ361" s="20">
        <f t="shared" si="354"/>
        <v>9.2910996374712003</v>
      </c>
      <c r="BK361" s="43">
        <f t="shared" si="307"/>
        <v>149.3740529856081</v>
      </c>
      <c r="BL361">
        <f t="shared" si="355"/>
        <v>0.70135433672670955</v>
      </c>
      <c r="BM361" s="43">
        <f t="shared" si="356"/>
        <v>122.13941393636138</v>
      </c>
    </row>
    <row r="362" spans="14:65" x14ac:dyDescent="0.25">
      <c r="N362" s="9">
        <v>44</v>
      </c>
      <c r="O362" s="34">
        <f t="shared" si="308"/>
        <v>27542.287033381719</v>
      </c>
      <c r="P362" s="33" t="str">
        <f t="shared" si="309"/>
        <v>54,631621870174</v>
      </c>
      <c r="Q362" s="4" t="str">
        <f t="shared" si="310"/>
        <v>1+689,725556164712i</v>
      </c>
      <c r="R362" s="4">
        <f t="shared" si="322"/>
        <v>689.7262810903477</v>
      </c>
      <c r="S362" s="4">
        <f t="shared" si="323"/>
        <v>1.5693464757775279</v>
      </c>
      <c r="T362" s="4" t="str">
        <f t="shared" si="311"/>
        <v>1+8,65266466071335i</v>
      </c>
      <c r="U362" s="4">
        <f t="shared" si="324"/>
        <v>8.7102586489011724</v>
      </c>
      <c r="V362" s="4">
        <f t="shared" si="325"/>
        <v>1.4557354596337511</v>
      </c>
      <c r="W362" t="str">
        <f t="shared" si="312"/>
        <v>1-0,688637691592309i</v>
      </c>
      <c r="X362" s="4">
        <f t="shared" si="326"/>
        <v>1.2141753869526364</v>
      </c>
      <c r="Y362" s="4">
        <f t="shared" si="327"/>
        <v>-0.60305947977570618</v>
      </c>
      <c r="Z362" t="str">
        <f t="shared" si="313"/>
        <v>0,996965689699883+0,0946132490937815i</v>
      </c>
      <c r="AA362" s="4">
        <f t="shared" si="328"/>
        <v>1.0014450825396495</v>
      </c>
      <c r="AB362" s="4">
        <f t="shared" si="329"/>
        <v>9.461783750314913E-2</v>
      </c>
      <c r="AC362" s="47" t="str">
        <f t="shared" si="330"/>
        <v>0,575966779964422-0,606590224487448i</v>
      </c>
      <c r="AD362" s="20">
        <f t="shared" si="331"/>
        <v>-1.5509468551324646</v>
      </c>
      <c r="AE362" s="43">
        <f t="shared" si="332"/>
        <v>-46.483397473319151</v>
      </c>
      <c r="AF362" t="str">
        <f t="shared" si="314"/>
        <v>171,265703090588</v>
      </c>
      <c r="AG362" t="str">
        <f t="shared" si="315"/>
        <v>1+683,124870565866i</v>
      </c>
      <c r="AH362">
        <f t="shared" si="333"/>
        <v>683.12560249607907</v>
      </c>
      <c r="AI362">
        <f t="shared" si="334"/>
        <v>1.569332466629952</v>
      </c>
      <c r="AJ362" t="str">
        <f t="shared" si="316"/>
        <v>1+8,65266466071335i</v>
      </c>
      <c r="AK362">
        <f t="shared" si="335"/>
        <v>8.7102586489011724</v>
      </c>
      <c r="AL362">
        <f t="shared" si="336"/>
        <v>1.4557354596337511</v>
      </c>
      <c r="AM362" t="str">
        <f t="shared" si="317"/>
        <v>1-0,217564435945892i</v>
      </c>
      <c r="AN362">
        <f t="shared" si="337"/>
        <v>1.0233935136536942</v>
      </c>
      <c r="AO362">
        <f t="shared" si="338"/>
        <v>-0.21422599642147758</v>
      </c>
      <c r="AP362" s="41" t="str">
        <f t="shared" si="339"/>
        <v>2,11581075147224-0,7195751069644i</v>
      </c>
      <c r="AQ362">
        <f t="shared" si="340"/>
        <v>6.9848710194949692</v>
      </c>
      <c r="AR362" s="43">
        <f t="shared" si="341"/>
        <v>-18.782874523135707</v>
      </c>
      <c r="AS362" t="str">
        <f t="shared" si="318"/>
        <v>-0,0000166666666666667</v>
      </c>
      <c r="AT362" t="str">
        <f t="shared" si="319"/>
        <v>0,00057349861371208i</v>
      </c>
      <c r="AU362">
        <f t="shared" si="342"/>
        <v>5.7349861371208005E-4</v>
      </c>
      <c r="AV362">
        <f t="shared" si="343"/>
        <v>1.5707963267948966</v>
      </c>
      <c r="AW362" t="str">
        <f t="shared" si="320"/>
        <v>1+0,193000896716937i</v>
      </c>
      <c r="AX362">
        <f t="shared" si="344"/>
        <v>1.0184543907969279</v>
      </c>
      <c r="AY362">
        <f t="shared" si="345"/>
        <v>0.19065668431996013</v>
      </c>
      <c r="AZ362" t="str">
        <f t="shared" si="321"/>
        <v>1+45,6860694085665i</v>
      </c>
      <c r="BA362">
        <f t="shared" si="346"/>
        <v>45.697012353154506</v>
      </c>
      <c r="BB362">
        <f t="shared" si="347"/>
        <v>1.5489113111535342</v>
      </c>
      <c r="BC362" s="41" t="str">
        <f t="shared" si="348"/>
        <v>-1,27461327839801+0,275062895330424i</v>
      </c>
      <c r="BD362">
        <f t="shared" si="349"/>
        <v>2.3052519872383943</v>
      </c>
      <c r="BE362" s="43">
        <f t="shared" si="350"/>
        <v>167.82225762168036</v>
      </c>
      <c r="BF362" s="41" t="str">
        <f t="shared" si="351"/>
        <v>-0,567284442232148+0,931595044789286i</v>
      </c>
      <c r="BG362" s="20">
        <f t="shared" si="352"/>
        <v>0.7543051321059292</v>
      </c>
      <c r="BH362" s="43">
        <f t="shared" si="353"/>
        <v>121.33886014836123</v>
      </c>
      <c r="BI362" s="41" t="str">
        <f t="shared" si="306"/>
        <v>-2,49891206607446+1,49916101741269i</v>
      </c>
      <c r="BJ362" s="20">
        <f t="shared" si="354"/>
        <v>9.2901230067333636</v>
      </c>
      <c r="BK362" s="43">
        <f t="shared" si="307"/>
        <v>149.03938309854456</v>
      </c>
      <c r="BL362">
        <f t="shared" si="355"/>
        <v>0.7543051321059292</v>
      </c>
      <c r="BM362" s="43">
        <f t="shared" si="356"/>
        <v>121.33886014836123</v>
      </c>
    </row>
    <row r="363" spans="14:65" x14ac:dyDescent="0.25">
      <c r="N363" s="9">
        <v>45</v>
      </c>
      <c r="O363" s="34">
        <f t="shared" si="308"/>
        <v>28183.829312644593</v>
      </c>
      <c r="P363" s="33" t="str">
        <f t="shared" si="309"/>
        <v>54,631621870174</v>
      </c>
      <c r="Q363" s="4" t="str">
        <f t="shared" si="310"/>
        <v>1+705,791328220295i</v>
      </c>
      <c r="R363" s="4">
        <f t="shared" si="322"/>
        <v>705.79203664462523</v>
      </c>
      <c r="S363" s="4">
        <f t="shared" si="323"/>
        <v>1.5693794783712014</v>
      </c>
      <c r="T363" s="4" t="str">
        <f t="shared" si="311"/>
        <v>1+8,8542111118633i</v>
      </c>
      <c r="U363" s="4">
        <f t="shared" si="324"/>
        <v>8.910502478168306</v>
      </c>
      <c r="V363" s="4">
        <f t="shared" si="325"/>
        <v>1.4583322829192507</v>
      </c>
      <c r="W363" t="str">
        <f t="shared" si="312"/>
        <v>1-0,704678124026805i</v>
      </c>
      <c r="X363" s="4">
        <f t="shared" si="326"/>
        <v>1.2233442927001119</v>
      </c>
      <c r="Y363" s="4">
        <f t="shared" si="327"/>
        <v>-0.61385874951163222</v>
      </c>
      <c r="Z363" t="str">
        <f t="shared" si="313"/>
        <v>0,996822687061103+0,09681707477458i</v>
      </c>
      <c r="AA363" s="4">
        <f t="shared" si="328"/>
        <v>1.0015133625706769</v>
      </c>
      <c r="AB363" s="4">
        <f t="shared" si="329"/>
        <v>9.6821982165949144E-2</v>
      </c>
      <c r="AC363" s="47" t="str">
        <f t="shared" si="330"/>
        <v>0,57369499719552-0,616970639271472i</v>
      </c>
      <c r="AD363" s="20">
        <f t="shared" si="331"/>
        <v>-1.4887702573954433</v>
      </c>
      <c r="AE363" s="43">
        <f t="shared" si="332"/>
        <v>-47.08154213255586</v>
      </c>
      <c r="AF363" t="str">
        <f t="shared" si="314"/>
        <v>171,265703090588</v>
      </c>
      <c r="AG363" t="str">
        <f t="shared" si="315"/>
        <v>1+699,036892902748i</v>
      </c>
      <c r="AH363">
        <f t="shared" si="333"/>
        <v>699.03760817221269</v>
      </c>
      <c r="AI363">
        <f t="shared" si="334"/>
        <v>1.5693657881094483</v>
      </c>
      <c r="AJ363" t="str">
        <f t="shared" si="316"/>
        <v>1+8,8542111118633i</v>
      </c>
      <c r="AK363">
        <f t="shared" si="335"/>
        <v>8.910502478168306</v>
      </c>
      <c r="AL363">
        <f t="shared" si="336"/>
        <v>1.4583322829192507</v>
      </c>
      <c r="AM363" t="str">
        <f t="shared" si="317"/>
        <v>1-0,222632162672946i</v>
      </c>
      <c r="AN363">
        <f t="shared" si="337"/>
        <v>1.0244828353156694</v>
      </c>
      <c r="AO363">
        <f t="shared" si="338"/>
        <v>-0.21905956107980412</v>
      </c>
      <c r="AP363" s="41" t="str">
        <f t="shared" si="339"/>
        <v>2,11579443768841-0,724932227622702i</v>
      </c>
      <c r="AQ363">
        <f t="shared" si="340"/>
        <v>6.9915348427978046</v>
      </c>
      <c r="AR363" s="43">
        <f t="shared" si="341"/>
        <v>-18.912939543803336</v>
      </c>
      <c r="AS363" t="str">
        <f t="shared" si="318"/>
        <v>-0,0000166666666666667</v>
      </c>
      <c r="AT363" t="str">
        <f t="shared" si="319"/>
        <v>0,000586857112494299i</v>
      </c>
      <c r="AU363">
        <f t="shared" si="342"/>
        <v>5.8685711249429901E-4</v>
      </c>
      <c r="AV363">
        <f t="shared" si="343"/>
        <v>1.5707963267948966</v>
      </c>
      <c r="AW363" t="str">
        <f t="shared" si="320"/>
        <v>1+0,197496465114344i</v>
      </c>
      <c r="AX363">
        <f t="shared" si="344"/>
        <v>1.0193158753461369</v>
      </c>
      <c r="AY363">
        <f t="shared" si="345"/>
        <v>0.19498715990005425</v>
      </c>
      <c r="AZ363" t="str">
        <f t="shared" si="321"/>
        <v>1+46,7502346706382i</v>
      </c>
      <c r="BA363">
        <f t="shared" si="346"/>
        <v>46.760928581025226</v>
      </c>
      <c r="BB363">
        <f t="shared" si="347"/>
        <v>1.5494093212666304</v>
      </c>
      <c r="BC363" s="41" t="str">
        <f t="shared" si="348"/>
        <v>-1,27245968567115+0,279706161561937i</v>
      </c>
      <c r="BD363">
        <f t="shared" si="349"/>
        <v>2.2978143160932691</v>
      </c>
      <c r="BE363" s="43">
        <f t="shared" si="350"/>
        <v>167.60267352529178</v>
      </c>
      <c r="BF363" s="41" t="str">
        <f t="shared" si="351"/>
        <v>-0,557433266495485+0,945536291288551i</v>
      </c>
      <c r="BG363" s="20">
        <f t="shared" si="352"/>
        <v>0.80904405869782547</v>
      </c>
      <c r="BH363" s="43">
        <f t="shared" si="353"/>
        <v>120.52113139273591</v>
      </c>
      <c r="BI363" s="41" t="str">
        <f t="shared" si="306"/>
        <v>-2,48949511434487+1,51424777531359i</v>
      </c>
      <c r="BJ363" s="20">
        <f t="shared" si="354"/>
        <v>9.2893491588910653</v>
      </c>
      <c r="BK363" s="43">
        <f t="shared" si="307"/>
        <v>148.68973398148847</v>
      </c>
      <c r="BL363">
        <f t="shared" si="355"/>
        <v>0.80904405869782547</v>
      </c>
      <c r="BM363" s="43">
        <f t="shared" si="356"/>
        <v>120.52113139273591</v>
      </c>
    </row>
    <row r="364" spans="14:65" x14ac:dyDescent="0.25">
      <c r="N364" s="9">
        <v>46</v>
      </c>
      <c r="O364" s="34">
        <f t="shared" si="308"/>
        <v>28840.315031266062</v>
      </c>
      <c r="P364" s="33" t="str">
        <f t="shared" si="309"/>
        <v>54,631621870174</v>
      </c>
      <c r="Q364" s="4" t="str">
        <f t="shared" si="310"/>
        <v>1+722,23132018035i</v>
      </c>
      <c r="R364" s="4">
        <f t="shared" si="322"/>
        <v>722.23201247898953</v>
      </c>
      <c r="S364" s="4">
        <f t="shared" si="323"/>
        <v>1.5694117297371093</v>
      </c>
      <c r="T364" s="4" t="str">
        <f t="shared" si="311"/>
        <v>1+9,06045218294405i</v>
      </c>
      <c r="U364" s="4">
        <f t="shared" si="324"/>
        <v>9.1154700240533746</v>
      </c>
      <c r="V364" s="4">
        <f t="shared" si="325"/>
        <v>1.4608714680111159</v>
      </c>
      <c r="W364" t="str">
        <f t="shared" si="312"/>
        <v>1-0,721092186130174i</v>
      </c>
      <c r="X364" s="4">
        <f t="shared" si="326"/>
        <v>1.2328722321870964</v>
      </c>
      <c r="Y364" s="4">
        <f t="shared" si="327"/>
        <v>-0.62474198118773083</v>
      </c>
      <c r="Z364" t="str">
        <f t="shared" si="313"/>
        <v>0,996672944915589+0,0990722341499489i</v>
      </c>
      <c r="AA364" s="4">
        <f t="shared" si="328"/>
        <v>1.0015848774348457</v>
      </c>
      <c r="AB364" s="4">
        <f t="shared" si="329"/>
        <v>9.9077482218777366E-2</v>
      </c>
      <c r="AC364" s="47" t="str">
        <f t="shared" si="330"/>
        <v>0,571317256822271-0,627664753304334i</v>
      </c>
      <c r="AD364" s="20">
        <f t="shared" si="331"/>
        <v>-1.4244652171198</v>
      </c>
      <c r="AE364" s="43">
        <f t="shared" si="332"/>
        <v>-47.690699286761664</v>
      </c>
      <c r="AF364" t="str">
        <f t="shared" si="314"/>
        <v>171,265703090588</v>
      </c>
      <c r="AG364" t="str">
        <f t="shared" si="315"/>
        <v>1+715,31955385309i</v>
      </c>
      <c r="AH364">
        <f t="shared" si="333"/>
        <v>715.32025284104998</v>
      </c>
      <c r="AI364">
        <f t="shared" si="334"/>
        <v>1.5693983511025391</v>
      </c>
      <c r="AJ364" t="str">
        <f t="shared" si="316"/>
        <v>1+9,06045218294405i</v>
      </c>
      <c r="AK364">
        <f t="shared" si="335"/>
        <v>9.1154700240533746</v>
      </c>
      <c r="AL364">
        <f t="shared" si="336"/>
        <v>1.4608714680111159</v>
      </c>
      <c r="AM364" t="str">
        <f t="shared" si="317"/>
        <v>1-0,227817931919534i</v>
      </c>
      <c r="AN364">
        <f t="shared" si="337"/>
        <v>1.0256222550744956</v>
      </c>
      <c r="AO364">
        <f t="shared" si="338"/>
        <v>-0.22399496644073269</v>
      </c>
      <c r="AP364" s="41" t="str">
        <f t="shared" si="339"/>
        <v>2,11577885814288-0,730673714842429i</v>
      </c>
      <c r="AQ364">
        <f t="shared" si="340"/>
        <v>6.9987276743480367</v>
      </c>
      <c r="AR364" s="43">
        <f t="shared" si="341"/>
        <v>-19.052098574076744</v>
      </c>
      <c r="AS364" t="str">
        <f t="shared" si="318"/>
        <v>-0,0000166666666666667</v>
      </c>
      <c r="AT364" t="str">
        <f t="shared" si="319"/>
        <v>0,000600526770685533i</v>
      </c>
      <c r="AU364">
        <f t="shared" si="342"/>
        <v>6.0052677068553296E-4</v>
      </c>
      <c r="AV364">
        <f t="shared" si="343"/>
        <v>1.5707963267948966</v>
      </c>
      <c r="AW364" t="str">
        <f t="shared" si="320"/>
        <v>1+0,202096748751727i</v>
      </c>
      <c r="AX364">
        <f t="shared" si="344"/>
        <v>1.0202171807296809</v>
      </c>
      <c r="AY364">
        <f t="shared" si="345"/>
        <v>0.19941084908268616</v>
      </c>
      <c r="AZ364" t="str">
        <f t="shared" si="321"/>
        <v>1+47,8391875259446i</v>
      </c>
      <c r="BA364">
        <f t="shared" si="346"/>
        <v>47.849638066995801</v>
      </c>
      <c r="BB364">
        <f t="shared" si="347"/>
        <v>1.5498960055382343</v>
      </c>
      <c r="BC364" s="41" t="str">
        <f t="shared" si="348"/>
        <v>-1,27021238345645+0,284459204559049i</v>
      </c>
      <c r="BD364">
        <f t="shared" si="349"/>
        <v>2.2900480284007037</v>
      </c>
      <c r="BE364" s="43">
        <f t="shared" si="350"/>
        <v>167.37709975996765</v>
      </c>
      <c r="BF364" s="41" t="str">
        <f t="shared" si="351"/>
        <v>-0,547149238043315+0,959783994732824i</v>
      </c>
      <c r="BG364" s="20">
        <f t="shared" si="352"/>
        <v>0.8655828112809012</v>
      </c>
      <c r="BH364" s="43">
        <f t="shared" si="353"/>
        <v>119.68640047320598</v>
      </c>
      <c r="BI364" s="41" t="str">
        <f t="shared" si="306"/>
        <v>-2,47964164255215+1,52996357186916i</v>
      </c>
      <c r="BJ364" s="20">
        <f t="shared" si="354"/>
        <v>9.2887757027487421</v>
      </c>
      <c r="BK364" s="43">
        <f t="shared" si="307"/>
        <v>148.32500118589084</v>
      </c>
      <c r="BL364">
        <f t="shared" si="355"/>
        <v>0.8655828112809012</v>
      </c>
      <c r="BM364" s="43">
        <f t="shared" si="356"/>
        <v>119.68640047320598</v>
      </c>
    </row>
    <row r="365" spans="14:65" x14ac:dyDescent="0.25">
      <c r="N365" s="9">
        <v>47</v>
      </c>
      <c r="O365" s="34">
        <f t="shared" si="308"/>
        <v>29512.092266663854</v>
      </c>
      <c r="P365" s="33" t="str">
        <f t="shared" si="309"/>
        <v>54,631621870174</v>
      </c>
      <c r="Q365" s="4" t="str">
        <f t="shared" si="310"/>
        <v>1+739,054248746233i</v>
      </c>
      <c r="R365" s="4">
        <f t="shared" si="322"/>
        <v>739.0549252862462</v>
      </c>
      <c r="S365" s="4">
        <f t="shared" si="323"/>
        <v>1.5694432469750845</v>
      </c>
      <c r="T365" s="4" t="str">
        <f t="shared" si="311"/>
        <v>1+9,27149722570155i</v>
      </c>
      <c r="U365" s="4">
        <f t="shared" si="324"/>
        <v>9.3252700125085681</v>
      </c>
      <c r="V365" s="4">
        <f t="shared" si="325"/>
        <v>1.463354230177504</v>
      </c>
      <c r="W365" t="str">
        <f t="shared" si="312"/>
        <v>1-0,73788858085542i</v>
      </c>
      <c r="X365" s="4">
        <f t="shared" si="326"/>
        <v>1.2427709192593885</v>
      </c>
      <c r="Y365" s="4">
        <f t="shared" si="327"/>
        <v>-0.63570463293013235</v>
      </c>
      <c r="Z365" t="str">
        <f t="shared" si="313"/>
        <v>0,996516145640176+0,101379922935241i</v>
      </c>
      <c r="AA365" s="4">
        <f t="shared" si="328"/>
        <v>1.0016597812111196</v>
      </c>
      <c r="AB365" s="4">
        <f t="shared" si="329"/>
        <v>0.10138553479256615</v>
      </c>
      <c r="AC365" s="47" t="str">
        <f t="shared" si="330"/>
        <v>0,568828605569669-0,638677279254794i</v>
      </c>
      <c r="AD365" s="20">
        <f t="shared" si="331"/>
        <v>-1.3580072046286127</v>
      </c>
      <c r="AE365" s="43">
        <f t="shared" si="332"/>
        <v>-48.310608646294469</v>
      </c>
      <c r="AF365" t="str">
        <f t="shared" si="314"/>
        <v>171,265703090588</v>
      </c>
      <c r="AG365" t="str">
        <f t="shared" si="315"/>
        <v>1+731,981486699266i</v>
      </c>
      <c r="AH365">
        <f t="shared" si="333"/>
        <v>731.98216977633263</v>
      </c>
      <c r="AI365">
        <f t="shared" si="334"/>
        <v>1.5694301728742781</v>
      </c>
      <c r="AJ365" t="str">
        <f t="shared" si="316"/>
        <v>1+9,27149722570155i</v>
      </c>
      <c r="AK365">
        <f t="shared" si="335"/>
        <v>9.3252700125085681</v>
      </c>
      <c r="AL365">
        <f t="shared" si="336"/>
        <v>1.463354230177504</v>
      </c>
      <c r="AM365" t="str">
        <f t="shared" si="317"/>
        <v>1-0,233124493249154i</v>
      </c>
      <c r="AN365">
        <f t="shared" si="337"/>
        <v>1.0268140188722956</v>
      </c>
      <c r="AO365">
        <f t="shared" si="338"/>
        <v>-0.2290338671444615</v>
      </c>
      <c r="AP365" s="41" t="str">
        <f t="shared" si="339"/>
        <v>2,11576397978972-0,736802612976351i</v>
      </c>
      <c r="AQ365">
        <f t="shared" si="340"/>
        <v>7.0064620899915901</v>
      </c>
      <c r="AR365" s="43">
        <f t="shared" si="341"/>
        <v>-19.200377777334378</v>
      </c>
      <c r="AS365" t="str">
        <f t="shared" si="318"/>
        <v>-0,0000166666666666667</v>
      </c>
      <c r="AT365" t="str">
        <f t="shared" si="319"/>
        <v>0,000614514836119498i</v>
      </c>
      <c r="AU365">
        <f t="shared" si="342"/>
        <v>6.14514836119498E-4</v>
      </c>
      <c r="AV365">
        <f t="shared" si="343"/>
        <v>1.5707963267948966</v>
      </c>
      <c r="AW365" t="str">
        <f t="shared" si="320"/>
        <v>1+0,206804186760368i</v>
      </c>
      <c r="AX365">
        <f t="shared" si="344"/>
        <v>1.021160110688631</v>
      </c>
      <c r="AY365">
        <f t="shared" si="345"/>
        <v>0.20392940449806474</v>
      </c>
      <c r="AZ365" t="str">
        <f t="shared" si="321"/>
        <v>1+48,9535053517042i</v>
      </c>
      <c r="BA365">
        <f t="shared" si="346"/>
        <v>48.963718059593191</v>
      </c>
      <c r="BB365">
        <f t="shared" si="347"/>
        <v>1.5503716210920455</v>
      </c>
      <c r="BC365" s="41" t="str">
        <f t="shared" si="348"/>
        <v>-1,26786766137893+0,289322007492714i</v>
      </c>
      <c r="BD365">
        <f t="shared" si="349"/>
        <v>2.2819384796346638</v>
      </c>
      <c r="BE365" s="43">
        <f t="shared" si="350"/>
        <v>167.14545636907454</v>
      </c>
      <c r="BF365" s="41" t="str">
        <f t="shared" si="351"/>
        <v>-0,536416001295072+0,974332902507331i</v>
      </c>
      <c r="BG365" s="20">
        <f t="shared" si="352"/>
        <v>0.92393127500604855</v>
      </c>
      <c r="BH365" s="43">
        <f t="shared" si="353"/>
        <v>118.83484772278008</v>
      </c>
      <c r="BI365" s="41" t="str">
        <f t="shared" si="306"/>
        <v>-2,46933551797357+1,54630528782575i</v>
      </c>
      <c r="BJ365" s="20">
        <f t="shared" si="354"/>
        <v>9.2884005696262442</v>
      </c>
      <c r="BK365" s="43">
        <f t="shared" si="307"/>
        <v>147.94507859174007</v>
      </c>
      <c r="BL365">
        <f t="shared" si="355"/>
        <v>0.92393127500604855</v>
      </c>
      <c r="BM365" s="43">
        <f t="shared" si="356"/>
        <v>118.83484772278008</v>
      </c>
    </row>
    <row r="366" spans="14:65" x14ac:dyDescent="0.25">
      <c r="N366" s="9">
        <v>48</v>
      </c>
      <c r="O366" s="34">
        <f t="shared" si="308"/>
        <v>30199.517204020212</v>
      </c>
      <c r="P366" s="33" t="str">
        <f t="shared" si="309"/>
        <v>54,631621870174</v>
      </c>
      <c r="Q366" s="4" t="str">
        <f t="shared" si="310"/>
        <v>1+756,269033657337i</v>
      </c>
      <c r="R366" s="4">
        <f t="shared" si="322"/>
        <v>756.26969479743298</v>
      </c>
      <c r="S366" s="4">
        <f t="shared" si="323"/>
        <v>1.5694740467957331</v>
      </c>
      <c r="T366" s="4" t="str">
        <f t="shared" si="311"/>
        <v>1+9,48745813901085i</v>
      </c>
      <c r="U366" s="4">
        <f t="shared" si="324"/>
        <v>9.5400137284745679</v>
      </c>
      <c r="V366" s="4">
        <f t="shared" si="325"/>
        <v>1.4657817633131038</v>
      </c>
      <c r="W366" t="str">
        <f t="shared" si="312"/>
        <v>1-0,755076213873342i</v>
      </c>
      <c r="X366" s="4">
        <f t="shared" si="326"/>
        <v>1.2530523088671521</v>
      </c>
      <c r="Y366" s="4">
        <f t="shared" si="327"/>
        <v>-0.64674197765313268</v>
      </c>
      <c r="Z366" t="str">
        <f t="shared" si="313"/>
        <v>0,996351956642576+0,103741364697595i</v>
      </c>
      <c r="AA366" s="4">
        <f t="shared" si="328"/>
        <v>1.0017382353962583</v>
      </c>
      <c r="AB366" s="4">
        <f t="shared" si="329"/>
        <v>0.10374736495473297</v>
      </c>
      <c r="AC366" s="47" t="str">
        <f t="shared" si="330"/>
        <v>0,566223863618975-0,650013030463495i</v>
      </c>
      <c r="AD366" s="20">
        <f t="shared" si="331"/>
        <v>-1.2893730780720563</v>
      </c>
      <c r="AE366" s="43">
        <f t="shared" si="332"/>
        <v>-48.94100211260718</v>
      </c>
      <c r="AF366" t="str">
        <f t="shared" si="314"/>
        <v>171,265703090588</v>
      </c>
      <c r="AG366" t="str">
        <f t="shared" si="315"/>
        <v>1+749,031525818607i</v>
      </c>
      <c r="AH366">
        <f t="shared" si="333"/>
        <v>749.03219334695518</v>
      </c>
      <c r="AI366">
        <f t="shared" si="334"/>
        <v>1.5694612702967314</v>
      </c>
      <c r="AJ366" t="str">
        <f t="shared" si="316"/>
        <v>1+9,48745813901085i</v>
      </c>
      <c r="AK366">
        <f t="shared" si="335"/>
        <v>9.5400137284745679</v>
      </c>
      <c r="AL366">
        <f t="shared" si="336"/>
        <v>1.4657817633131038</v>
      </c>
      <c r="AM366" t="str">
        <f t="shared" si="317"/>
        <v>1-0,238554660270861i</v>
      </c>
      <c r="AN366">
        <f t="shared" si="337"/>
        <v>1.0280604680352932</v>
      </c>
      <c r="AO366">
        <f t="shared" si="338"/>
        <v>-0.23417791090238077</v>
      </c>
      <c r="AP366" s="41" t="str">
        <f t="shared" si="339"/>
        <v>2,11574977107032-0,743322171778272i</v>
      </c>
      <c r="AQ366">
        <f t="shared" si="340"/>
        <v>7.0147515395767135</v>
      </c>
      <c r="AR366" s="43">
        <f t="shared" si="341"/>
        <v>-19.357804122056017</v>
      </c>
      <c r="AS366" t="str">
        <f t="shared" si="318"/>
        <v>-0,0000166666666666667</v>
      </c>
      <c r="AT366" t="str">
        <f t="shared" si="319"/>
        <v>0,000628828725453639i</v>
      </c>
      <c r="AU366">
        <f t="shared" si="342"/>
        <v>6.2882872545363901E-4</v>
      </c>
      <c r="AV366">
        <f t="shared" si="343"/>
        <v>1.5707963267948966</v>
      </c>
      <c r="AW366" t="str">
        <f t="shared" si="320"/>
        <v>1+0,211621275086205i</v>
      </c>
      <c r="AX366">
        <f t="shared" si="344"/>
        <v>1.0221465472568556</v>
      </c>
      <c r="AY366">
        <f t="shared" si="345"/>
        <v>0.20854448354030289</v>
      </c>
      <c r="AZ366" t="str">
        <f t="shared" si="321"/>
        <v>1+50,0937789739773i</v>
      </c>
      <c r="BA366">
        <f t="shared" si="346"/>
        <v>50.103759259098425</v>
      </c>
      <c r="BB366">
        <f t="shared" si="347"/>
        <v>1.5508364192445199</v>
      </c>
      <c r="BC366" s="41" t="str">
        <f t="shared" si="348"/>
        <v>-1,26542169599445+0,294294455179491i</v>
      </c>
      <c r="BD366">
        <f t="shared" si="349"/>
        <v>2.2734704639414831</v>
      </c>
      <c r="BE366" s="43">
        <f t="shared" si="350"/>
        <v>166.90766279029725</v>
      </c>
      <c r="BF366" s="41" t="str">
        <f t="shared" si="351"/>
        <v>-0,525216731153429+0,989177134880981i</v>
      </c>
      <c r="BG366" s="20">
        <f t="shared" si="352"/>
        <v>0.98409738586942963</v>
      </c>
      <c r="BH366" s="43">
        <f t="shared" si="353"/>
        <v>117.96666067769006</v>
      </c>
      <c r="BI366" s="41" t="str">
        <f t="shared" si="306"/>
        <v>-2,45856007004135+1,56326942945521i</v>
      </c>
      <c r="BJ366" s="20">
        <f t="shared" si="354"/>
        <v>9.288222003518193</v>
      </c>
      <c r="BK366" s="43">
        <f t="shared" si="307"/>
        <v>147.54985866824123</v>
      </c>
      <c r="BL366">
        <f t="shared" si="355"/>
        <v>0.98409738586942963</v>
      </c>
      <c r="BM366" s="43">
        <f t="shared" si="356"/>
        <v>117.96666067769006</v>
      </c>
    </row>
    <row r="367" spans="14:65" x14ac:dyDescent="0.25">
      <c r="N367" s="9">
        <v>49</v>
      </c>
      <c r="O367" s="34">
        <f t="shared" si="308"/>
        <v>30902.954325135954</v>
      </c>
      <c r="P367" s="33" t="str">
        <f t="shared" si="309"/>
        <v>54,631621870174</v>
      </c>
      <c r="Q367" s="4" t="str">
        <f t="shared" si="310"/>
        <v>1+773,884802420491i</v>
      </c>
      <c r="R367" s="4">
        <f t="shared" si="322"/>
        <v>773.88544851121367</v>
      </c>
      <c r="S367" s="4">
        <f t="shared" si="323"/>
        <v>1.5695041455292937</v>
      </c>
      <c r="T367" s="4" t="str">
        <f t="shared" si="311"/>
        <v>1+9,7084494282068i</v>
      </c>
      <c r="U367" s="4">
        <f t="shared" si="324"/>
        <v>9.7598150750948633</v>
      </c>
      <c r="V367" s="4">
        <f t="shared" si="325"/>
        <v>1.4681552400237321</v>
      </c>
      <c r="W367" t="str">
        <f t="shared" si="312"/>
        <v>1-0,772664198294474i</v>
      </c>
      <c r="X367" s="4">
        <f t="shared" si="326"/>
        <v>1.2637285955956057</v>
      </c>
      <c r="Y367" s="4">
        <f t="shared" si="327"/>
        <v>-0.65784911105915866</v>
      </c>
      <c r="Z367" t="str">
        <f t="shared" si="313"/>
        <v>0,996180029655914+0,106157811504691i</v>
      </c>
      <c r="AA367" s="4">
        <f t="shared" si="328"/>
        <v>1.0018204092694074</v>
      </c>
      <c r="AB367" s="4">
        <f t="shared" si="329"/>
        <v>0.10616422636198444</v>
      </c>
      <c r="AC367" s="47" t="str">
        <f t="shared" si="330"/>
        <v>0,563497614462354-0,661676918661965i</v>
      </c>
      <c r="AD367" s="20">
        <f t="shared" si="331"/>
        <v>-1.2185412022640554</v>
      </c>
      <c r="AE367" s="43">
        <f t="shared" si="332"/>
        <v>-49.581604269674898</v>
      </c>
      <c r="AF367" t="str">
        <f t="shared" si="314"/>
        <v>171,265703090588</v>
      </c>
      <c r="AG367" t="str">
        <f t="shared" si="315"/>
        <v>1+766,478711367541i</v>
      </c>
      <c r="AH367">
        <f t="shared" si="333"/>
        <v>766.4793637011021</v>
      </c>
      <c r="AI367">
        <f t="shared" si="334"/>
        <v>1.5694916598579238</v>
      </c>
      <c r="AJ367" t="str">
        <f t="shared" si="316"/>
        <v>1+9,7084494282068i</v>
      </c>
      <c r="AK367">
        <f t="shared" si="335"/>
        <v>9.7598150750948633</v>
      </c>
      <c r="AL367">
        <f t="shared" si="336"/>
        <v>1.4681552400237321</v>
      </c>
      <c r="AM367" t="str">
        <f t="shared" si="317"/>
        <v>1-0,244111312131088i</v>
      </c>
      <c r="AN367">
        <f t="shared" si="337"/>
        <v>1.029364042848963</v>
      </c>
      <c r="AO367">
        <f t="shared" si="338"/>
        <v>-0.23942873573317358</v>
      </c>
      <c r="AP367" s="41" t="str">
        <f t="shared" si="339"/>
        <v>2,1157362018464-0,75023584812672i</v>
      </c>
      <c r="AQ367">
        <f t="shared" si="340"/>
        <v>7.0236103546232371</v>
      </c>
      <c r="AR367" s="43">
        <f t="shared" si="341"/>
        <v>-19.524405219128958</v>
      </c>
      <c r="AS367" t="str">
        <f t="shared" si="318"/>
        <v>-0,0000166666666666667</v>
      </c>
      <c r="AT367" t="str">
        <f t="shared" si="319"/>
        <v>0,000643476028101547i</v>
      </c>
      <c r="AU367">
        <f t="shared" si="342"/>
        <v>6.4347602810154705E-4</v>
      </c>
      <c r="AV367">
        <f t="shared" si="343"/>
        <v>1.5707963267948966</v>
      </c>
      <c r="AW367" t="str">
        <f t="shared" si="320"/>
        <v>1+0,216550567813231i</v>
      </c>
      <c r="AX367">
        <f t="shared" si="344"/>
        <v>1.0231784538487081</v>
      </c>
      <c r="AY367">
        <f t="shared" si="345"/>
        <v>0.21325774644656809</v>
      </c>
      <c r="AZ367" t="str">
        <f t="shared" si="321"/>
        <v>1+51,2606129809319i</v>
      </c>
      <c r="BA367">
        <f t="shared" si="346"/>
        <v>51.270366130747334</v>
      </c>
      <c r="BB367">
        <f t="shared" si="347"/>
        <v>1.5512906456340196</v>
      </c>
      <c r="BC367" s="41" t="str">
        <f t="shared" si="348"/>
        <v>-1,26287055055805+0,299376325571206i</v>
      </c>
      <c r="BD367">
        <f t="shared" si="349"/>
        <v>2.2646281966317732</v>
      </c>
      <c r="BE367" s="43">
        <f t="shared" si="350"/>
        <v>166.66363797309447</v>
      </c>
      <c r="BF367" s="41" t="str">
        <f t="shared" si="351"/>
        <v>-0,513534137989924+1,00431013984807i</v>
      </c>
      <c r="BG367" s="20">
        <f t="shared" si="352"/>
        <v>1.0460869943677213</v>
      </c>
      <c r="BH367" s="43">
        <f t="shared" si="353"/>
        <v>117.08203370341955</v>
      </c>
      <c r="BI367" s="41" t="str">
        <f t="shared" si="306"/>
        <v>-2,44729809053739+1,58085208855893i</v>
      </c>
      <c r="BJ367" s="20">
        <f t="shared" si="354"/>
        <v>9.2882385512550165</v>
      </c>
      <c r="BK367" s="43">
        <f t="shared" si="307"/>
        <v>147.13923275396559</v>
      </c>
      <c r="BL367">
        <f t="shared" si="355"/>
        <v>1.0460869943677213</v>
      </c>
      <c r="BM367" s="43">
        <f t="shared" si="356"/>
        <v>117.08203370341955</v>
      </c>
    </row>
    <row r="368" spans="14:65" x14ac:dyDescent="0.25">
      <c r="N368" s="9">
        <v>50</v>
      </c>
      <c r="O368" s="34">
        <f t="shared" si="308"/>
        <v>31622.77660168384</v>
      </c>
      <c r="P368" s="33" t="str">
        <f t="shared" si="309"/>
        <v>54,631621870174</v>
      </c>
      <c r="Q368" s="4" t="str">
        <f t="shared" si="310"/>
        <v>1+791,910895149463i</v>
      </c>
      <c r="R368" s="4">
        <f t="shared" si="322"/>
        <v>791.91152653337724</v>
      </c>
      <c r="S368" s="4">
        <f t="shared" si="323"/>
        <v>1.5695335591342954</v>
      </c>
      <c r="T368" s="4" t="str">
        <f t="shared" si="311"/>
        <v>1+9,9345882657961i</v>
      </c>
      <c r="U368" s="4">
        <f t="shared" si="324"/>
        <v>9.9847906343044333</v>
      </c>
      <c r="V368" s="4">
        <f t="shared" si="325"/>
        <v>1.4704758117339285</v>
      </c>
      <c r="W368" t="str">
        <f t="shared" si="312"/>
        <v>1-0,790661859500961i</v>
      </c>
      <c r="X368" s="4">
        <f t="shared" si="326"/>
        <v>1.2748122120804763</v>
      </c>
      <c r="Y368" s="4">
        <f t="shared" si="327"/>
        <v>-0.66902096060766791</v>
      </c>
      <c r="Z368" t="str">
        <f t="shared" si="313"/>
        <v>0,996+0,108630544588612i</v>
      </c>
      <c r="AA368" s="4">
        <f t="shared" si="328"/>
        <v>1.0019064802752893</v>
      </c>
      <c r="AB368" s="4">
        <f t="shared" si="329"/>
        <v>0.10863740192827476</v>
      </c>
      <c r="AC368" s="47" t="str">
        <f t="shared" si="330"/>
        <v>0,560644194336807-0,673673951403136i</v>
      </c>
      <c r="AD368" s="20">
        <f t="shared" si="331"/>
        <v>-1.1454915635333505</v>
      </c>
      <c r="AE368" s="43">
        <f t="shared" si="332"/>
        <v>-50.232132930477981</v>
      </c>
      <c r="AF368" t="str">
        <f t="shared" si="314"/>
        <v>171,265703090588</v>
      </c>
      <c r="AG368" t="str">
        <f t="shared" si="315"/>
        <v>1+784,332294074787i</v>
      </c>
      <c r="AH368">
        <f t="shared" si="333"/>
        <v>784.33293155943545</v>
      </c>
      <c r="AI368">
        <f t="shared" si="334"/>
        <v>1.5695213576705782</v>
      </c>
      <c r="AJ368" t="str">
        <f t="shared" si="316"/>
        <v>1+9,9345882657961i</v>
      </c>
      <c r="AK368">
        <f t="shared" si="335"/>
        <v>9.9847906343044333</v>
      </c>
      <c r="AL368">
        <f t="shared" si="336"/>
        <v>1.4704758117339285</v>
      </c>
      <c r="AM368" t="str">
        <f t="shared" si="317"/>
        <v>1-0,249797395040202i</v>
      </c>
      <c r="AN368">
        <f t="shared" si="337"/>
        <v>1.0307272862250572</v>
      </c>
      <c r="AO368">
        <f t="shared" si="338"/>
        <v>-0.24478796701737099</v>
      </c>
      <c r="AP368" s="41" t="str">
        <f t="shared" si="339"/>
        <v>2,11572324333613-0,757547307858409i</v>
      </c>
      <c r="AQ368">
        <f t="shared" si="340"/>
        <v>7.0330537559435342</v>
      </c>
      <c r="AR368" s="43">
        <f t="shared" si="341"/>
        <v>-19.700209147422104</v>
      </c>
      <c r="AS368" t="str">
        <f t="shared" si="318"/>
        <v>-0,0000166666666666667</v>
      </c>
      <c r="AT368" t="str">
        <f t="shared" si="319"/>
        <v>0,000658464510256967i</v>
      </c>
      <c r="AU368">
        <f t="shared" si="342"/>
        <v>6.5846451025696699E-4</v>
      </c>
      <c r="AV368">
        <f t="shared" si="343"/>
        <v>1.5707963267948966</v>
      </c>
      <c r="AW368" t="str">
        <f t="shared" si="320"/>
        <v>1+0,221594678517697i</v>
      </c>
      <c r="AX368">
        <f t="shared" si="344"/>
        <v>1.0242578784404646</v>
      </c>
      <c r="AY368">
        <f t="shared" si="345"/>
        <v>0.21807085422781011</v>
      </c>
      <c r="AZ368" t="str">
        <f t="shared" si="321"/>
        <v>1+52,4546260434034i</v>
      </c>
      <c r="BA368">
        <f t="shared" si="346"/>
        <v>52.464157225226579</v>
      </c>
      <c r="BB368">
        <f t="shared" si="347"/>
        <v>1.5517345403472249</v>
      </c>
      <c r="BC368" s="41" t="str">
        <f t="shared" si="348"/>
        <v>-1,26021017515844+0,304567280872219i</v>
      </c>
      <c r="BD368">
        <f t="shared" si="349"/>
        <v>2.2553952966813307</v>
      </c>
      <c r="BE368" s="43">
        <f t="shared" si="350"/>
        <v>166.41330050450264</v>
      </c>
      <c r="BF368" s="41" t="str">
        <f t="shared" si="351"/>
        <v>-0,501350474773454+1,01972464610338i</v>
      </c>
      <c r="BG368" s="20">
        <f t="shared" si="352"/>
        <v>1.1099037331479691</v>
      </c>
      <c r="BH368" s="43">
        <f t="shared" si="353"/>
        <v>116.18116757402471</v>
      </c>
      <c r="BI368" s="41" t="str">
        <f t="shared" si="306"/>
        <v>-2,4355318353849+1,59904890082809i</v>
      </c>
      <c r="BJ368" s="20">
        <f t="shared" si="354"/>
        <v>9.2884490526248662</v>
      </c>
      <c r="BK368" s="43">
        <f t="shared" si="307"/>
        <v>146.71309135708049</v>
      </c>
      <c r="BL368">
        <f t="shared" si="355"/>
        <v>1.1099037331479691</v>
      </c>
      <c r="BM368" s="43">
        <f t="shared" si="356"/>
        <v>116.18116757402471</v>
      </c>
    </row>
    <row r="369" spans="14:65" x14ac:dyDescent="0.25">
      <c r="N369" s="9">
        <v>51</v>
      </c>
      <c r="O369" s="34">
        <f t="shared" si="308"/>
        <v>32359.365692962871</v>
      </c>
      <c r="P369" s="33" t="str">
        <f t="shared" si="309"/>
        <v>54,631621870174</v>
      </c>
      <c r="Q369" s="4" t="str">
        <f t="shared" si="310"/>
        <v>1+810,356869517224i</v>
      </c>
      <c r="R369" s="4">
        <f t="shared" si="322"/>
        <v>810.35748652909683</v>
      </c>
      <c r="S369" s="4">
        <f t="shared" si="323"/>
        <v>1.5695623032060166</v>
      </c>
      <c r="T369" s="4" t="str">
        <f t="shared" si="311"/>
        <v>1+10,1659945535837i</v>
      </c>
      <c r="U369" s="4">
        <f t="shared" si="324"/>
        <v>10.215059728826525</v>
      </c>
      <c r="V369" s="4">
        <f t="shared" si="325"/>
        <v>1.4727446088155762</v>
      </c>
      <c r="W369" t="str">
        <f t="shared" si="312"/>
        <v>1-0,809078740091003i</v>
      </c>
      <c r="X369" s="4">
        <f t="shared" si="326"/>
        <v>1.2863158273407216</v>
      </c>
      <c r="Y369" s="4">
        <f t="shared" si="327"/>
        <v>-0.68025229542715171</v>
      </c>
      <c r="Z369" t="str">
        <f t="shared" si="313"/>
        <v>0,995811485807796+0,111160875025168i</v>
      </c>
      <c r="AA369" s="4">
        <f t="shared" si="328"/>
        <v>1.0019966344270279</v>
      </c>
      <c r="AB369" s="4">
        <f t="shared" si="329"/>
        <v>0.11116820450824576</v>
      </c>
      <c r="AC369" s="47" t="str">
        <f t="shared" si="330"/>
        <v>0,557657681222879-0,686009229178325i</v>
      </c>
      <c r="AD369" s="20">
        <f t="shared" si="331"/>
        <v>-1.070205879831664</v>
      </c>
      <c r="AE369" s="43">
        <f t="shared" si="332"/>
        <v>-50.892299737191557</v>
      </c>
      <c r="AF369" t="str">
        <f t="shared" si="314"/>
        <v>171,265703090588</v>
      </c>
      <c r="AG369" t="str">
        <f t="shared" si="315"/>
        <v>1+802,601740146216i</v>
      </c>
      <c r="AH369">
        <f t="shared" si="333"/>
        <v>802.60236311995357</v>
      </c>
      <c r="AI369">
        <f t="shared" si="334"/>
        <v>1.569550379480658</v>
      </c>
      <c r="AJ369" t="str">
        <f t="shared" si="316"/>
        <v>1+10,1659945535837i</v>
      </c>
      <c r="AK369">
        <f t="shared" si="335"/>
        <v>10.215059728826525</v>
      </c>
      <c r="AL369">
        <f t="shared" si="336"/>
        <v>1.4727446088155762</v>
      </c>
      <c r="AM369" t="str">
        <f t="shared" si="317"/>
        <v>1-0,255615923834626i</v>
      </c>
      <c r="AN369">
        <f t="shared" si="337"/>
        <v>1.032152847459052</v>
      </c>
      <c r="AO369">
        <f t="shared" si="338"/>
        <v>-0.25025721436458681</v>
      </c>
      <c r="AP369" s="41" t="str">
        <f t="shared" si="339"/>
        <v>2,11571086805303-0,765260427712455i</v>
      </c>
      <c r="AQ369">
        <f t="shared" si="340"/>
        <v>7.0430978611131536</v>
      </c>
      <c r="AR369" s="43">
        <f t="shared" si="341"/>
        <v>-19.885244267412101</v>
      </c>
      <c r="AS369" t="str">
        <f t="shared" si="318"/>
        <v>-0,0000166666666666667</v>
      </c>
      <c r="AT369" t="str">
        <f t="shared" si="319"/>
        <v>0,000673802119011533i</v>
      </c>
      <c r="AU369">
        <f t="shared" si="342"/>
        <v>6.7380211901153298E-4</v>
      </c>
      <c r="AV369">
        <f t="shared" si="343"/>
        <v>1.5707963267948966</v>
      </c>
      <c r="AW369" t="str">
        <f t="shared" si="320"/>
        <v>1+0,226756281653866i</v>
      </c>
      <c r="AX369">
        <f t="shared" si="344"/>
        <v>1.0253869568457985</v>
      </c>
      <c r="AY369">
        <f t="shared" si="345"/>
        <v>0.22298546644454104</v>
      </c>
      <c r="AZ369" t="str">
        <f t="shared" si="321"/>
        <v>1+53,6764512429222i</v>
      </c>
      <c r="BA369">
        <f t="shared" si="346"/>
        <v>53.685765506638759</v>
      </c>
      <c r="BB369">
        <f t="shared" si="347"/>
        <v>1.5521683380428586</v>
      </c>
      <c r="BC369" s="41" t="str">
        <f t="shared" si="348"/>
        <v>-1,25743640725785+0,309866858285051i</v>
      </c>
      <c r="BD369">
        <f t="shared" si="349"/>
        <v>2.245754769299309</v>
      </c>
      <c r="BE369" s="43">
        <f t="shared" si="350"/>
        <v>166.1565687436628</v>
      </c>
      <c r="BF369" s="41" t="str">
        <f t="shared" si="351"/>
        <v>-0,488647546556603+1,03541261416278i</v>
      </c>
      <c r="BG369" s="20">
        <f t="shared" si="352"/>
        <v>1.1755488894676434</v>
      </c>
      <c r="BH369" s="43">
        <f t="shared" si="353"/>
        <v>115.26426900647125</v>
      </c>
      <c r="BI369" s="41" t="str">
        <f t="shared" si="306"/>
        <v>-2,42324302821586+1,61785500256249i</v>
      </c>
      <c r="BJ369" s="20">
        <f t="shared" si="354"/>
        <v>9.2888526304124781</v>
      </c>
      <c r="BK369" s="43">
        <f t="shared" si="307"/>
        <v>146.2713244762507</v>
      </c>
      <c r="BL369">
        <f t="shared" si="355"/>
        <v>1.1755488894676434</v>
      </c>
      <c r="BM369" s="43">
        <f t="shared" si="356"/>
        <v>115.26426900647125</v>
      </c>
    </row>
    <row r="370" spans="14:65" x14ac:dyDescent="0.25">
      <c r="N370" s="9">
        <v>52</v>
      </c>
      <c r="O370" s="34">
        <f t="shared" si="308"/>
        <v>33113.11214825909</v>
      </c>
      <c r="P370" s="33" t="str">
        <f t="shared" si="309"/>
        <v>54,631621870174</v>
      </c>
      <c r="Q370" s="4" t="str">
        <f t="shared" si="310"/>
        <v>1+829,232505823543i</v>
      </c>
      <c r="R370" s="4">
        <f t="shared" si="322"/>
        <v>829.2331087905211</v>
      </c>
      <c r="S370" s="4">
        <f t="shared" si="323"/>
        <v>1.5695903929847548</v>
      </c>
      <c r="T370" s="4" t="str">
        <f t="shared" si="311"/>
        <v>1+10,4027909862466i</v>
      </c>
      <c r="U370" s="4">
        <f t="shared" si="324"/>
        <v>10.45074448561123</v>
      </c>
      <c r="V370" s="4">
        <f t="shared" si="325"/>
        <v>1.4749627407356747</v>
      </c>
      <c r="W370" t="str">
        <f t="shared" si="312"/>
        <v>1-0,827924604938464i</v>
      </c>
      <c r="X370" s="4">
        <f t="shared" si="326"/>
        <v>1.2982523450633592</v>
      </c>
      <c r="Y370" s="4">
        <f t="shared" si="327"/>
        <v>-0.69153773713504074</v>
      </c>
      <c r="Z370" t="str">
        <f t="shared" si="313"/>
        <v>0,995614087215427+0,113750144429051i</v>
      </c>
      <c r="AA370" s="4">
        <f t="shared" si="328"/>
        <v>1.002091066729685</v>
      </c>
      <c r="AB370" s="4">
        <f t="shared" si="329"/>
        <v>0.11375797759648716</v>
      </c>
      <c r="AC370" s="47" t="str">
        <f t="shared" si="330"/>
        <v>0,554531883393435-0,698687942193797i</v>
      </c>
      <c r="AD370" s="20">
        <f t="shared" si="331"/>
        <v>-0.99266770535550064</v>
      </c>
      <c r="AE370" s="43">
        <f t="shared" si="332"/>
        <v>-51.561810813191642</v>
      </c>
      <c r="AF370" t="str">
        <f t="shared" si="314"/>
        <v>171,265703090588</v>
      </c>
      <c r="AG370" t="str">
        <f t="shared" si="315"/>
        <v>1+821,296736283961i</v>
      </c>
      <c r="AH370">
        <f t="shared" si="333"/>
        <v>821.29734507709577</v>
      </c>
      <c r="AI370">
        <f t="shared" si="334"/>
        <v>1.5695787406757156</v>
      </c>
      <c r="AJ370" t="str">
        <f t="shared" si="316"/>
        <v>1+10,4027909862466i</v>
      </c>
      <c r="AK370">
        <f t="shared" si="335"/>
        <v>10.45074448561123</v>
      </c>
      <c r="AL370">
        <f t="shared" si="336"/>
        <v>1.4749627407356747</v>
      </c>
      <c r="AM370" t="str">
        <f t="shared" si="317"/>
        <v>1-0,261569983575343i</v>
      </c>
      <c r="AN370">
        <f t="shared" si="337"/>
        <v>1.0336434860761254</v>
      </c>
      <c r="AO370">
        <f t="shared" si="338"/>
        <v>-0.25583806828797229</v>
      </c>
      <c r="AP370" s="41" t="str">
        <f t="shared" si="339"/>
        <v>2,11569904974776-0,773379297386399i</v>
      </c>
      <c r="AQ370">
        <f t="shared" si="340"/>
        <v>7.053759691682675</v>
      </c>
      <c r="AR370" s="43">
        <f t="shared" si="341"/>
        <v>-20.079539022655002</v>
      </c>
      <c r="AS370" t="str">
        <f t="shared" si="318"/>
        <v>-0,0000166666666666667</v>
      </c>
      <c r="AT370" t="str">
        <f t="shared" si="319"/>
        <v>0,000689496986568423i</v>
      </c>
      <c r="AU370">
        <f t="shared" si="342"/>
        <v>6.8949698656842304E-4</v>
      </c>
      <c r="AV370">
        <f t="shared" si="343"/>
        <v>1.5707963267948966</v>
      </c>
      <c r="AW370" t="str">
        <f t="shared" si="320"/>
        <v>1+0,232038113972041i</v>
      </c>
      <c r="AX370">
        <f t="shared" si="344"/>
        <v>1.0265679160852934</v>
      </c>
      <c r="AY370">
        <f t="shared" si="345"/>
        <v>0.22800323882113943</v>
      </c>
      <c r="AZ370" t="str">
        <f t="shared" si="321"/>
        <v>1+54,9267364073818i</v>
      </c>
      <c r="BA370">
        <f t="shared" si="346"/>
        <v>54.935838688109627</v>
      </c>
      <c r="BB370">
        <f t="shared" si="347"/>
        <v>1.5525922680727677</v>
      </c>
      <c r="BC370" s="41" t="str">
        <f t="shared" si="348"/>
        <v>-1,25454497267847+0,315274460387459i</v>
      </c>
      <c r="BD370">
        <f t="shared" si="349"/>
        <v>2.2356889886262414</v>
      </c>
      <c r="BE370" s="43">
        <f t="shared" si="350"/>
        <v>165.89336096544901</v>
      </c>
      <c r="BF370" s="41" t="str">
        <f t="shared" si="351"/>
        <v>-0,475406722546784+1,0513651856548i</v>
      </c>
      <c r="BG370" s="20">
        <f t="shared" si="352"/>
        <v>1.243021283270743</v>
      </c>
      <c r="BH370" s="43">
        <f t="shared" si="353"/>
        <v>114.33155015225738</v>
      </c>
      <c r="BI370" s="41" t="str">
        <f t="shared" ref="BI370:BI433" si="357">IMPRODUCT(AP370,BC370)</f>
        <v>-2,41041286590334+1,6372649857612i</v>
      </c>
      <c r="BJ370" s="20">
        <f t="shared" si="354"/>
        <v>9.2894486803089222</v>
      </c>
      <c r="BK370" s="43">
        <f t="shared" ref="BK370:BK433" si="358">(180/PI())*IMARGUMENT(BI370)</f>
        <v>145.81382194279399</v>
      </c>
      <c r="BL370">
        <f t="shared" si="355"/>
        <v>1.243021283270743</v>
      </c>
      <c r="BM370" s="43">
        <f t="shared" si="356"/>
        <v>114.33155015225738</v>
      </c>
    </row>
    <row r="371" spans="14:65" x14ac:dyDescent="0.25">
      <c r="N371" s="9">
        <v>53</v>
      </c>
      <c r="O371" s="34">
        <f t="shared" si="308"/>
        <v>33884.41561392029</v>
      </c>
      <c r="P371" s="33" t="str">
        <f t="shared" si="309"/>
        <v>54,631621870174</v>
      </c>
      <c r="Q371" s="4" t="str">
        <f t="shared" si="310"/>
        <v>1+848,547812180646i</v>
      </c>
      <c r="R371" s="4">
        <f t="shared" si="322"/>
        <v>848.54840142242972</v>
      </c>
      <c r="S371" s="4">
        <f t="shared" si="323"/>
        <v>1.5696178433639052</v>
      </c>
      <c r="T371" s="4" t="str">
        <f t="shared" si="311"/>
        <v>1+10,6451031163875i</v>
      </c>
      <c r="U371" s="4">
        <f t="shared" si="324"/>
        <v>10.691969900749012</v>
      </c>
      <c r="V371" s="4">
        <f t="shared" si="325"/>
        <v>1.4771312962215064</v>
      </c>
      <c r="W371" t="str">
        <f t="shared" si="312"/>
        <v>1-0,847209446370346i</v>
      </c>
      <c r="X371" s="4">
        <f t="shared" si="326"/>
        <v>1.3106349018773871</v>
      </c>
      <c r="Y371" s="4">
        <f t="shared" si="327"/>
        <v>-0.7028717715210695</v>
      </c>
      <c r="Z371" t="str">
        <f t="shared" si="313"/>
        <v>0,995407385514012+0,116399725665172i</v>
      </c>
      <c r="AA371" s="4">
        <f t="shared" si="328"/>
        <v>1.0021899816256239</v>
      </c>
      <c r="AB371" s="4">
        <f t="shared" si="329"/>
        <v>0.11640809604293079</v>
      </c>
      <c r="AC371" s="47" t="str">
        <f t="shared" si="330"/>
        <v>0,551260327497627-0,711715366778093i</v>
      </c>
      <c r="AD371" s="20">
        <f t="shared" si="331"/>
        <v>-0.91286252896166564</v>
      </c>
      <c r="AE371" s="43">
        <f t="shared" si="332"/>
        <v>-52.240367464451374</v>
      </c>
      <c r="AF371" t="str">
        <f t="shared" si="314"/>
        <v>171,265703090588</v>
      </c>
      <c r="AG371" t="str">
        <f t="shared" si="315"/>
        <v>1+840,427194822436i</v>
      </c>
      <c r="AH371">
        <f t="shared" si="333"/>
        <v>840.42778975775707</v>
      </c>
      <c r="AI371">
        <f t="shared" si="334"/>
        <v>1.5696064562930494</v>
      </c>
      <c r="AJ371" t="str">
        <f t="shared" si="316"/>
        <v>1+10,6451031163875i</v>
      </c>
      <c r="AK371">
        <f t="shared" si="335"/>
        <v>10.691969900749012</v>
      </c>
      <c r="AL371">
        <f t="shared" si="336"/>
        <v>1.4771312962215064</v>
      </c>
      <c r="AM371" t="str">
        <f t="shared" si="317"/>
        <v>1-0,267662731183642i</v>
      </c>
      <c r="AN371">
        <f t="shared" si="337"/>
        <v>1.03520207576332</v>
      </c>
      <c r="AO371">
        <f t="shared" si="338"/>
        <v>-0.26153209668087829</v>
      </c>
      <c r="AP371" s="41" t="str">
        <f t="shared" si="339"/>
        <v>2,11568776335227-0,781908221705058i</v>
      </c>
      <c r="AQ371">
        <f t="shared" si="340"/>
        <v>7.0650571800119462</v>
      </c>
      <c r="AR371" s="43">
        <f t="shared" si="341"/>
        <v>-20.283121728917898</v>
      </c>
      <c r="AS371" t="str">
        <f t="shared" si="318"/>
        <v>-0,0000166666666666667</v>
      </c>
      <c r="AT371" t="str">
        <f t="shared" si="319"/>
        <v>0,000705557434554165i</v>
      </c>
      <c r="AU371">
        <f t="shared" si="342"/>
        <v>7.05557434554165E-4</v>
      </c>
      <c r="AV371">
        <f t="shared" si="343"/>
        <v>1.5707963267948966</v>
      </c>
      <c r="AW371" t="str">
        <f t="shared" si="320"/>
        <v>1+0,237442975969634i</v>
      </c>
      <c r="AX371">
        <f t="shared" si="344"/>
        <v>1.0278030778496998</v>
      </c>
      <c r="AY371">
        <f t="shared" si="345"/>
        <v>0.23312582069225601</v>
      </c>
      <c r="AZ371" t="str">
        <f t="shared" si="321"/>
        <v>1+56,2061444545262i</v>
      </c>
      <c r="BA371">
        <f t="shared" si="346"/>
        <v>56.215039575215691</v>
      </c>
      <c r="BB371">
        <f t="shared" si="347"/>
        <v>1.5530065546004181</v>
      </c>
      <c r="BC371" s="41" t="str">
        <f t="shared" si="348"/>
        <v>-1,25153148707927+0,320789345147066i</v>
      </c>
      <c r="BD371">
        <f t="shared" si="349"/>
        <v>2.2251796806335946</v>
      </c>
      <c r="BE371" s="43">
        <f t="shared" si="350"/>
        <v>165.62359551356735</v>
      </c>
      <c r="BF371" s="41" t="str">
        <f t="shared" si="351"/>
        <v>-0,461608951001062+1,06757263082448i</v>
      </c>
      <c r="BG371" s="20">
        <f t="shared" si="352"/>
        <v>1.3123171516719581</v>
      </c>
      <c r="BH371" s="43">
        <f t="shared" si="353"/>
        <v>113.38322804911587</v>
      </c>
      <c r="BI371" s="41" t="str">
        <f t="shared" si="357"/>
        <v>-2,39702202625781+1,65727285161147i</v>
      </c>
      <c r="BJ371" s="20">
        <f t="shared" si="354"/>
        <v>9.2902368606455372</v>
      </c>
      <c r="BK371" s="43">
        <f t="shared" si="358"/>
        <v>145.34047378464953</v>
      </c>
      <c r="BL371">
        <f t="shared" si="355"/>
        <v>1.3123171516719581</v>
      </c>
      <c r="BM371" s="43">
        <f t="shared" si="356"/>
        <v>113.38322804911587</v>
      </c>
    </row>
    <row r="372" spans="14:65" x14ac:dyDescent="0.25">
      <c r="N372" s="9">
        <v>54</v>
      </c>
      <c r="O372" s="34">
        <f t="shared" si="308"/>
        <v>34673.685045253202</v>
      </c>
      <c r="P372" s="33" t="str">
        <f t="shared" si="309"/>
        <v>54,631621870174</v>
      </c>
      <c r="Q372" s="4" t="str">
        <f t="shared" si="310"/>
        <v>1+868,313029819617i</v>
      </c>
      <c r="R372" s="4">
        <f t="shared" si="322"/>
        <v>868.31360564862928</v>
      </c>
      <c r="S372" s="4">
        <f t="shared" si="323"/>
        <v>1.5696446688978565</v>
      </c>
      <c r="T372" s="4" t="str">
        <f t="shared" si="311"/>
        <v>1+10,8930594211053i</v>
      </c>
      <c r="U372" s="4">
        <f t="shared" si="324"/>
        <v>10.938863905896762</v>
      </c>
      <c r="V372" s="4">
        <f t="shared" si="325"/>
        <v>1.4792513434415828</v>
      </c>
      <c r="W372" t="str">
        <f t="shared" si="312"/>
        <v>1-0,866943489464829i</v>
      </c>
      <c r="X372" s="4">
        <f t="shared" si="326"/>
        <v>1.3234768656555558</v>
      </c>
      <c r="Y372" s="4">
        <f t="shared" si="327"/>
        <v>-0.71424876104055268</v>
      </c>
      <c r="Z372" t="str">
        <f t="shared" si="313"/>
        <v>0,99519094226153+0,119111023576572i</v>
      </c>
      <c r="AA372" s="4">
        <f t="shared" si="328"/>
        <v>1.0022935934629387</v>
      </c>
      <c r="AB372" s="4">
        <f t="shared" si="329"/>
        <v>0.11911996678472454</v>
      </c>
      <c r="AC372" s="47" t="str">
        <f t="shared" si="330"/>
        <v>0,547836246165295-0,725096861389432i</v>
      </c>
      <c r="AD372" s="20">
        <f t="shared" si="331"/>
        <v>-0.8307778656866488</v>
      </c>
      <c r="AE372" s="43">
        <f t="shared" si="332"/>
        <v>-52.927666927372009</v>
      </c>
      <c r="AF372" t="str">
        <f t="shared" si="314"/>
        <v>171,265703090588</v>
      </c>
      <c r="AG372" t="str">
        <f t="shared" si="315"/>
        <v>1+860,003258983967i</v>
      </c>
      <c r="AH372">
        <f t="shared" si="333"/>
        <v>860.00384037691617</v>
      </c>
      <c r="AI372">
        <f t="shared" si="334"/>
        <v>1.5696335410276763</v>
      </c>
      <c r="AJ372" t="str">
        <f t="shared" si="316"/>
        <v>1+10,8930594211053i</v>
      </c>
      <c r="AK372">
        <f t="shared" si="335"/>
        <v>10.938863905896762</v>
      </c>
      <c r="AL372">
        <f t="shared" si="336"/>
        <v>1.4792513434415828</v>
      </c>
      <c r="AM372" t="str">
        <f t="shared" si="317"/>
        <v>1-0,273897397114947i</v>
      </c>
      <c r="AN372">
        <f t="shared" si="337"/>
        <v>1.0368316083850564</v>
      </c>
      <c r="AO372">
        <f t="shared" si="338"/>
        <v>-0.26734084109118939</v>
      </c>
      <c r="AP372" s="41" t="str">
        <f t="shared" si="339"/>
        <v>2,11567698492687-0,790851722903486i</v>
      </c>
      <c r="AQ372">
        <f t="shared" si="340"/>
        <v>7.0770091756036635</v>
      </c>
      <c r="AR372" s="43">
        <f t="shared" si="341"/>
        <v>-20.496020350803445</v>
      </c>
      <c r="AS372" t="str">
        <f t="shared" si="318"/>
        <v>-0,0000166666666666667</v>
      </c>
      <c r="AT372" t="str">
        <f t="shared" si="319"/>
        <v>0,000721991978430864i</v>
      </c>
      <c r="AU372">
        <f t="shared" si="342"/>
        <v>7.2199197843086395E-4</v>
      </c>
      <c r="AV372">
        <f t="shared" si="343"/>
        <v>1.5707963267948966</v>
      </c>
      <c r="AW372" t="str">
        <f t="shared" si="320"/>
        <v>1+0,242973733376013i</v>
      </c>
      <c r="AX372">
        <f t="shared" si="344"/>
        <v>1.0290948620563014</v>
      </c>
      <c r="AY372">
        <f t="shared" si="345"/>
        <v>0.23835485227498737</v>
      </c>
      <c r="AZ372" t="str">
        <f t="shared" si="321"/>
        <v>1+57,5153537434362i</v>
      </c>
      <c r="BA372">
        <f t="shared" si="346"/>
        <v>57.524046417412265</v>
      </c>
      <c r="BB372">
        <f t="shared" si="347"/>
        <v>1.5534114167168407</v>
      </c>
      <c r="BC372" s="41" t="str">
        <f t="shared" si="348"/>
        <v>-1,24839145796866+0,326410615582622i</v>
      </c>
      <c r="BD372">
        <f t="shared" si="349"/>
        <v>2.214207906299714</v>
      </c>
      <c r="BE372" s="43">
        <f t="shared" si="350"/>
        <v>165.34719096349201</v>
      </c>
      <c r="BF372" s="41" t="str">
        <f t="shared" si="351"/>
        <v>-0,447234777195219+1,08402429430774i</v>
      </c>
      <c r="BG372" s="20">
        <f t="shared" si="352"/>
        <v>1.3834300406130728</v>
      </c>
      <c r="BH372" s="43">
        <f t="shared" si="353"/>
        <v>112.41952403611998</v>
      </c>
      <c r="BI372" s="41" t="str">
        <f t="shared" si="357"/>
        <v>-2,38305067809609+1,67787196241648i</v>
      </c>
      <c r="BJ372" s="20">
        <f t="shared" si="354"/>
        <v>9.2912170819033886</v>
      </c>
      <c r="BK372" s="43">
        <f t="shared" si="358"/>
        <v>144.85117061268849</v>
      </c>
      <c r="BL372">
        <f t="shared" si="355"/>
        <v>1.3834300406130728</v>
      </c>
      <c r="BM372" s="43">
        <f t="shared" si="356"/>
        <v>112.41952403611998</v>
      </c>
    </row>
    <row r="373" spans="14:65" x14ac:dyDescent="0.25">
      <c r="N373" s="9">
        <v>55</v>
      </c>
      <c r="O373" s="34">
        <f t="shared" si="308"/>
        <v>35481.33892335758</v>
      </c>
      <c r="P373" s="33" t="str">
        <f t="shared" si="309"/>
        <v>54,631621870174</v>
      </c>
      <c r="Q373" s="4" t="str">
        <f t="shared" si="310"/>
        <v>1+888,538638520488i</v>
      </c>
      <c r="R373" s="4">
        <f t="shared" si="322"/>
        <v>888.53920124204001</v>
      </c>
      <c r="S373" s="4">
        <f t="shared" si="323"/>
        <v>1.5696708838097071</v>
      </c>
      <c r="T373" s="4" t="str">
        <f t="shared" si="311"/>
        <v>1+11,146791370115i</v>
      </c>
      <c r="U373" s="4">
        <f t="shared" si="324"/>
        <v>11.191557436249445</v>
      </c>
      <c r="V373" s="4">
        <f t="shared" si="325"/>
        <v>1.4813239302008061</v>
      </c>
      <c r="W373" t="str">
        <f t="shared" si="312"/>
        <v>1-0,887137197472787i</v>
      </c>
      <c r="X373" s="4">
        <f t="shared" si="326"/>
        <v>1.3367918338843452</v>
      </c>
      <c r="Y373" s="4">
        <f t="shared" si="327"/>
        <v>-0.72566295805537551</v>
      </c>
      <c r="Z373" t="str">
        <f t="shared" si="313"/>
        <v>0,994964298352823+0,121885475729295i</v>
      </c>
      <c r="AA373" s="4">
        <f t="shared" si="328"/>
        <v>1.0024021269882073</v>
      </c>
      <c r="AB373" s="4">
        <f t="shared" si="329"/>
        <v>0.121895029594923</v>
      </c>
      <c r="AC373" s="47" t="str">
        <f t="shared" si="330"/>
        <v>0,544252565116704-0,738837862190043i</v>
      </c>
      <c r="AD373" s="20">
        <f t="shared" si="331"/>
        <v>-0.74640334072634429</v>
      </c>
      <c r="AE373" s="43">
        <f t="shared" si="332"/>
        <v>-53.623403159591405</v>
      </c>
      <c r="AF373" t="str">
        <f t="shared" si="314"/>
        <v>171,265703090588</v>
      </c>
      <c r="AG373" t="str">
        <f t="shared" si="315"/>
        <v>1+880,035308256908i</v>
      </c>
      <c r="AH373">
        <f t="shared" si="333"/>
        <v>880.03587641574654</v>
      </c>
      <c r="AI373">
        <f t="shared" si="334"/>
        <v>1.5696600092401216</v>
      </c>
      <c r="AJ373" t="str">
        <f t="shared" si="316"/>
        <v>1+11,146791370115i</v>
      </c>
      <c r="AK373">
        <f t="shared" si="335"/>
        <v>11.191557436249445</v>
      </c>
      <c r="AL373">
        <f t="shared" si="336"/>
        <v>1.4813239302008061</v>
      </c>
      <c r="AM373" t="str">
        <f t="shared" si="317"/>
        <v>1-0,280277287071665i</v>
      </c>
      <c r="AN373">
        <f t="shared" si="337"/>
        <v>1.0385351980786459</v>
      </c>
      <c r="AO373">
        <f t="shared" si="338"/>
        <v>-0.27326581278947387</v>
      </c>
      <c r="AP373" s="41" t="str">
        <f t="shared" si="339"/>
        <v>2,11566669160925-0,800214543025107i</v>
      </c>
      <c r="AQ373">
        <f t="shared" si="340"/>
        <v>7.0896354507991184</v>
      </c>
      <c r="AR373" s="43">
        <f t="shared" si="341"/>
        <v>-20.718262265735753</v>
      </c>
      <c r="AS373" t="str">
        <f t="shared" si="318"/>
        <v>-0,0000166666666666667</v>
      </c>
      <c r="AT373" t="str">
        <f t="shared" si="319"/>
        <v>0,000738809332011221i</v>
      </c>
      <c r="AU373">
        <f t="shared" si="342"/>
        <v>7.3880933201122103E-4</v>
      </c>
      <c r="AV373">
        <f t="shared" si="343"/>
        <v>1.5707963267948966</v>
      </c>
      <c r="AW373" t="str">
        <f t="shared" si="320"/>
        <v>1+0,248633318671968i</v>
      </c>
      <c r="AX373">
        <f t="shared" si="344"/>
        <v>1.030445790497412</v>
      </c>
      <c r="AY373">
        <f t="shared" si="345"/>
        <v>0.24369196176075703</v>
      </c>
      <c r="AZ373" t="str">
        <f t="shared" si="321"/>
        <v>1+58,8550584342072i</v>
      </c>
      <c r="BA373">
        <f t="shared" si="346"/>
        <v>58.863553267654041</v>
      </c>
      <c r="BB373">
        <f t="shared" si="347"/>
        <v>1.5538070685540859</v>
      </c>
      <c r="BC373" s="41" t="str">
        <f t="shared" si="348"/>
        <v>-1,24512028730115+0,332137209084769i</v>
      </c>
      <c r="BD373">
        <f t="shared" si="349"/>
        <v>2.202754045148851</v>
      </c>
      <c r="BE373" s="43">
        <f t="shared" si="350"/>
        <v>165.0640662955889</v>
      </c>
      <c r="BF373" s="41" t="str">
        <f t="shared" si="351"/>
        <v>-0,43226436472854+1,10070853925412i</v>
      </c>
      <c r="BG373" s="20">
        <f t="shared" si="352"/>
        <v>1.4563507044224908</v>
      </c>
      <c r="BH373" s="43">
        <f t="shared" si="353"/>
        <v>111.44066313599753</v>
      </c>
      <c r="BI373" s="41" t="str">
        <f t="shared" si="357"/>
        <v>-2,36847849390058+1,69905499201868i</v>
      </c>
      <c r="BJ373" s="20">
        <f t="shared" si="354"/>
        <v>9.2923894959479654</v>
      </c>
      <c r="BK373" s="43">
        <f t="shared" si="358"/>
        <v>144.34580402985318</v>
      </c>
      <c r="BL373">
        <f t="shared" si="355"/>
        <v>1.4563507044224908</v>
      </c>
      <c r="BM373" s="43">
        <f t="shared" si="356"/>
        <v>111.44066313599753</v>
      </c>
    </row>
    <row r="374" spans="14:65" x14ac:dyDescent="0.25">
      <c r="N374" s="9">
        <v>56</v>
      </c>
      <c r="O374" s="34">
        <f t="shared" si="308"/>
        <v>36307.805477010232</v>
      </c>
      <c r="P374" s="33" t="str">
        <f t="shared" si="309"/>
        <v>54,631621870174</v>
      </c>
      <c r="Q374" s="4" t="str">
        <f t="shared" si="310"/>
        <v>1+909,235362168696i</v>
      </c>
      <c r="R374" s="4">
        <f t="shared" si="322"/>
        <v>909.23591208114942</v>
      </c>
      <c r="S374" s="4">
        <f t="shared" si="323"/>
        <v>1.5696965019988065</v>
      </c>
      <c r="T374" s="4" t="str">
        <f t="shared" si="311"/>
        <v>1+11,4064334954542i</v>
      </c>
      <c r="U374" s="4">
        <f t="shared" si="324"/>
        <v>11.450184500095164</v>
      </c>
      <c r="V374" s="4">
        <f t="shared" si="325"/>
        <v>1.4833500841484273</v>
      </c>
      <c r="W374" t="str">
        <f t="shared" si="312"/>
        <v>1-0,90780127736549i</v>
      </c>
      <c r="X374" s="4">
        <f t="shared" si="326"/>
        <v>1.350593632143442</v>
      </c>
      <c r="Y374" s="4">
        <f t="shared" si="327"/>
        <v>-0.73710851875210404</v>
      </c>
      <c r="Z374" t="str">
        <f t="shared" si="313"/>
        <v>0,994726973045774+0,124724553174593i</v>
      </c>
      <c r="AA374" s="4">
        <f t="shared" si="328"/>
        <v>1.00251581786494</v>
      </c>
      <c r="AB374" s="4">
        <f t="shared" si="329"/>
        <v>0.12473475784830099</v>
      </c>
      <c r="AC374" s="47" t="str">
        <f t="shared" si="330"/>
        <v>0,54050188976292-0,752943878152248i</v>
      </c>
      <c r="AD374" s="20">
        <f t="shared" si="331"/>
        <v>-0.6597307652793849</v>
      </c>
      <c r="AE374" s="43">
        <f t="shared" si="332"/>
        <v>-54.327267669829013</v>
      </c>
      <c r="AF374" t="str">
        <f t="shared" si="314"/>
        <v>171,265703090588</v>
      </c>
      <c r="AG374" t="str">
        <f t="shared" si="315"/>
        <v>1+900,533963898926i</v>
      </c>
      <c r="AH374">
        <f t="shared" si="333"/>
        <v>900.53451912489868</v>
      </c>
      <c r="AI374">
        <f t="shared" si="334"/>
        <v>1.5696858749640339</v>
      </c>
      <c r="AJ374" t="str">
        <f t="shared" si="316"/>
        <v>1+11,4064334954542i</v>
      </c>
      <c r="AK374">
        <f t="shared" si="335"/>
        <v>11.450184500095164</v>
      </c>
      <c r="AL374">
        <f t="shared" si="336"/>
        <v>1.4833500841484273</v>
      </c>
      <c r="AM374" t="str">
        <f t="shared" si="317"/>
        <v>1-0,286805783755896i</v>
      </c>
      <c r="AN374">
        <f t="shared" si="337"/>
        <v>1.0403160854258833</v>
      </c>
      <c r="AO374">
        <f t="shared" si="338"/>
        <v>-0.2793084886276978</v>
      </c>
      <c r="AP374" s="41" t="str">
        <f t="shared" si="339"/>
        <v>2,11565686156605-0,810001646436391i</v>
      </c>
      <c r="AQ374">
        <f t="shared" si="340"/>
        <v>7.102956705696382</v>
      </c>
      <c r="AR374" s="43">
        <f t="shared" si="341"/>
        <v>-20.949874015203381</v>
      </c>
      <c r="AS374" t="str">
        <f t="shared" si="318"/>
        <v>-0,0000166666666666667</v>
      </c>
      <c r="AT374" t="str">
        <f t="shared" si="319"/>
        <v>0,000756018412078708i</v>
      </c>
      <c r="AU374">
        <f t="shared" si="342"/>
        <v>7.5601841207870797E-4</v>
      </c>
      <c r="AV374">
        <f t="shared" si="343"/>
        <v>1.5707963267948966</v>
      </c>
      <c r="AW374" t="str">
        <f t="shared" si="320"/>
        <v>1+0,254424732644532i</v>
      </c>
      <c r="AX374">
        <f t="shared" si="344"/>
        <v>1.0318584905796151</v>
      </c>
      <c r="AY374">
        <f t="shared" si="345"/>
        <v>0.24913876222098391</v>
      </c>
      <c r="AZ374" t="str">
        <f t="shared" si="321"/>
        <v>1+60,2259688559984i</v>
      </c>
      <c r="BA374">
        <f t="shared" si="346"/>
        <v>60.234270350388485</v>
      </c>
      <c r="BB374">
        <f t="shared" si="347"/>
        <v>1.5541937193962265</v>
      </c>
      <c r="BC374" s="41" t="str">
        <f t="shared" si="348"/>
        <v>-1,24171327470731+0,337967886412817i</v>
      </c>
      <c r="BD374">
        <f t="shared" si="349"/>
        <v>2.1907977792415578</v>
      </c>
      <c r="BE374" s="43">
        <f t="shared" si="350"/>
        <v>164.77414107876777</v>
      </c>
      <c r="BF374" s="41" t="str">
        <f t="shared" si="351"/>
        <v>-0,41667752043642+1,11761268989656i</v>
      </c>
      <c r="BG374" s="20">
        <f t="shared" si="352"/>
        <v>1.5310670139621929</v>
      </c>
      <c r="BH374" s="43">
        <f t="shared" si="353"/>
        <v>110.44687340893871</v>
      </c>
      <c r="BI374" s="41" t="str">
        <f t="shared" si="357"/>
        <v>-2,35328466529516+1,7208138747931i</v>
      </c>
      <c r="BJ374" s="20">
        <f t="shared" si="354"/>
        <v>9.2937544849379456</v>
      </c>
      <c r="BK374" s="43">
        <f t="shared" si="358"/>
        <v>143.82426706356432</v>
      </c>
      <c r="BL374">
        <f t="shared" si="355"/>
        <v>1.5310670139621929</v>
      </c>
      <c r="BM374" s="43">
        <f t="shared" si="356"/>
        <v>110.44687340893871</v>
      </c>
    </row>
    <row r="375" spans="14:65" x14ac:dyDescent="0.25">
      <c r="N375" s="9">
        <v>57</v>
      </c>
      <c r="O375" s="34">
        <f t="shared" si="308"/>
        <v>37153.522909717351</v>
      </c>
      <c r="P375" s="33" t="str">
        <f t="shared" si="309"/>
        <v>54,631621870174</v>
      </c>
      <c r="Q375" s="4" t="str">
        <f t="shared" si="310"/>
        <v>1+930,41417444108i</v>
      </c>
      <c r="R375" s="4">
        <f t="shared" si="322"/>
        <v>930.41471183600527</v>
      </c>
      <c r="S375" s="4">
        <f t="shared" si="323"/>
        <v>1.5697215370481228</v>
      </c>
      <c r="T375" s="4" t="str">
        <f t="shared" si="311"/>
        <v>1+11,6721234628148i</v>
      </c>
      <c r="U375" s="4">
        <f t="shared" si="324"/>
        <v>11.714882249992602</v>
      </c>
      <c r="V375" s="4">
        <f t="shared" si="325"/>
        <v>1.4853308129974729</v>
      </c>
      <c r="W375" t="str">
        <f t="shared" si="312"/>
        <v>1-0,928946685511623i</v>
      </c>
      <c r="X375" s="4">
        <f t="shared" si="326"/>
        <v>1.3648963127369895</v>
      </c>
      <c r="Y375" s="4">
        <f t="shared" si="327"/>
        <v>-0.74857951765920272</v>
      </c>
      <c r="Z375" t="str">
        <f t="shared" si="313"/>
        <v>0,994478462941588+0,127629761228909i</v>
      </c>
      <c r="AA375" s="4">
        <f t="shared" si="328"/>
        <v>1.0026349132191696</v>
      </c>
      <c r="AB375" s="4">
        <f t="shared" si="329"/>
        <v>0.12764065930466448</v>
      </c>
      <c r="AC375" s="47" t="str">
        <f t="shared" si="330"/>
        <v>0,536576491282059-0,767420485658612i</v>
      </c>
      <c r="AD375" s="20">
        <f t="shared" si="331"/>
        <v>-0.5707542037189941</v>
      </c>
      <c r="AE375" s="43">
        <f t="shared" si="332"/>
        <v>-55.038950382391128</v>
      </c>
      <c r="AF375" t="str">
        <f t="shared" si="314"/>
        <v>171,265703090588</v>
      </c>
      <c r="AG375" t="str">
        <f t="shared" si="315"/>
        <v>1+921,51009456858i</v>
      </c>
      <c r="AH375">
        <f t="shared" si="333"/>
        <v>921.51063715607381</v>
      </c>
      <c r="AI375">
        <f t="shared" si="334"/>
        <v>1.5697111519136238</v>
      </c>
      <c r="AJ375" t="str">
        <f t="shared" si="316"/>
        <v>1+11,6721234628148i</v>
      </c>
      <c r="AK375">
        <f t="shared" si="335"/>
        <v>11.714882249992602</v>
      </c>
      <c r="AL375">
        <f t="shared" si="336"/>
        <v>1.4853308129974729</v>
      </c>
      <c r="AM375" t="str">
        <f t="shared" si="317"/>
        <v>1-0,293486348662998i</v>
      </c>
      <c r="AN375">
        <f t="shared" si="337"/>
        <v>1.0421776416962412</v>
      </c>
      <c r="AO375">
        <f t="shared" si="338"/>
        <v>-0.28547030668619616</v>
      </c>
      <c r="AP375" s="41" t="str">
        <f t="shared" si="339"/>
        <v>2,11564747394662-0,82021822245942i</v>
      </c>
      <c r="AQ375">
        <f t="shared" si="340"/>
        <v>7.1169945721392471</v>
      </c>
      <c r="AR375" s="43">
        <f t="shared" si="341"/>
        <v>-21.19088104320322</v>
      </c>
      <c r="AS375" t="str">
        <f t="shared" si="318"/>
        <v>-0,0000166666666666667</v>
      </c>
      <c r="AT375" t="str">
        <f t="shared" si="319"/>
        <v>0,000773628343115366i</v>
      </c>
      <c r="AU375">
        <f t="shared" si="342"/>
        <v>7.7362834311536603E-4</v>
      </c>
      <c r="AV375">
        <f t="shared" si="343"/>
        <v>1.5707963267948966</v>
      </c>
      <c r="AW375" t="str">
        <f t="shared" si="320"/>
        <v>1+0,260351045978054i</v>
      </c>
      <c r="AX375">
        <f t="shared" si="344"/>
        <v>1.0333356991519584</v>
      </c>
      <c r="AY375">
        <f t="shared" si="345"/>
        <v>0.25469684832108125</v>
      </c>
      <c r="AZ375" t="str">
        <f t="shared" si="321"/>
        <v>1+61,6288118836621i</v>
      </c>
      <c r="BA375">
        <f t="shared" si="346"/>
        <v>61.636924438130514</v>
      </c>
      <c r="BB375">
        <f t="shared" si="347"/>
        <v>1.5545715737879608</v>
      </c>
      <c r="BC375" s="41" t="str">
        <f t="shared" si="348"/>
        <v>-1,23816562140899+0,343901220388752i</v>
      </c>
      <c r="BD375">
        <f t="shared" si="349"/>
        <v>2.1783180777191196</v>
      </c>
      <c r="BE375" s="43">
        <f t="shared" si="350"/>
        <v>164.4773356649788</v>
      </c>
      <c r="BF375" s="41" t="str">
        <f t="shared" si="351"/>
        <v>-0,400453723192381+1,1347229726913i</v>
      </c>
      <c r="BG375" s="20">
        <f t="shared" si="352"/>
        <v>1.6075638740001335</v>
      </c>
      <c r="BH375" s="43">
        <f t="shared" si="353"/>
        <v>109.43838528258765</v>
      </c>
      <c r="BI375" s="41" t="str">
        <f t="shared" si="357"/>
        <v>-2,33744792157259+1,74313975330507i</v>
      </c>
      <c r="BJ375" s="20">
        <f t="shared" si="354"/>
        <v>9.2953126498583689</v>
      </c>
      <c r="BK375" s="43">
        <f t="shared" si="358"/>
        <v>143.28645462177553</v>
      </c>
      <c r="BL375">
        <f t="shared" si="355"/>
        <v>1.6075638740001335</v>
      </c>
      <c r="BM375" s="43">
        <f t="shared" si="356"/>
        <v>109.43838528258765</v>
      </c>
    </row>
    <row r="376" spans="14:65" x14ac:dyDescent="0.25">
      <c r="N376" s="9">
        <v>58</v>
      </c>
      <c r="O376" s="34">
        <f t="shared" si="308"/>
        <v>38018.939632056143</v>
      </c>
      <c r="P376" s="33" t="str">
        <f t="shared" si="309"/>
        <v>54,631621870174</v>
      </c>
      <c r="Q376" s="4" t="str">
        <f t="shared" si="310"/>
        <v>1+952,08630462424i</v>
      </c>
      <c r="R376" s="4">
        <f t="shared" si="322"/>
        <v>952.08682978657009</v>
      </c>
      <c r="S376" s="4">
        <f t="shared" si="323"/>
        <v>1.5697460022314449</v>
      </c>
      <c r="T376" s="4" t="str">
        <f t="shared" si="311"/>
        <v>1+11,9440021445341i</v>
      </c>
      <c r="U376" s="4">
        <f t="shared" si="324"/>
        <v>11.985791055605599</v>
      </c>
      <c r="V376" s="4">
        <f t="shared" si="325"/>
        <v>1.4872671047543622</v>
      </c>
      <c r="W376" t="str">
        <f t="shared" si="312"/>
        <v>1-0,950584633486476i</v>
      </c>
      <c r="X376" s="4">
        <f t="shared" si="326"/>
        <v>1.3797141535189881</v>
      </c>
      <c r="Y376" s="4">
        <f t="shared" si="327"/>
        <v>-0.76006996267830118</v>
      </c>
      <c r="Z376" t="str">
        <f t="shared" si="313"/>
        <v>0,994218240917016+0,130602640272009i</v>
      </c>
      <c r="AA376" s="4">
        <f t="shared" si="328"/>
        <v>1.0027596722137093</v>
      </c>
      <c r="AB376" s="4">
        <f t="shared" si="329"/>
        <v>0.13061427690994407</v>
      </c>
      <c r="AC376" s="47" t="str">
        <f t="shared" si="330"/>
        <v>0,532468292156834-0,782273322555601i</v>
      </c>
      <c r="AD376" s="20">
        <f t="shared" si="331"/>
        <v>-0.47947003162803581</v>
      </c>
      <c r="AE376" s="43">
        <f t="shared" si="332"/>
        <v>-55.758140531554545</v>
      </c>
      <c r="AF376" t="str">
        <f t="shared" si="314"/>
        <v>171,265703090588</v>
      </c>
      <c r="AG376" t="str">
        <f t="shared" si="315"/>
        <v>1+942,974822088003i</v>
      </c>
      <c r="AH376">
        <f t="shared" si="333"/>
        <v>942.97535232470466</v>
      </c>
      <c r="AI376">
        <f t="shared" si="334"/>
        <v>1.5697358534909351</v>
      </c>
      <c r="AJ376" t="str">
        <f t="shared" si="316"/>
        <v>1+11,9440021445341i</v>
      </c>
      <c r="AK376">
        <f t="shared" si="335"/>
        <v>11.985791055605599</v>
      </c>
      <c r="AL376">
        <f t="shared" si="336"/>
        <v>1.4872671047543622</v>
      </c>
      <c r="AM376" t="str">
        <f t="shared" si="317"/>
        <v>1-0,300322523916911i</v>
      </c>
      <c r="AN376">
        <f t="shared" si="337"/>
        <v>1.0441233731565553</v>
      </c>
      <c r="AO376">
        <f t="shared" si="338"/>
        <v>-0.2917526617074292</v>
      </c>
      <c r="AP376" s="41" t="str">
        <f t="shared" si="339"/>
        <v>2,11563850883867-0,830869688123617i</v>
      </c>
      <c r="AQ376">
        <f t="shared" si="340"/>
        <v>7.1317716166168967</v>
      </c>
      <c r="AR376" s="43">
        <f t="shared" si="341"/>
        <v>-21.441307421874278</v>
      </c>
      <c r="AS376" t="str">
        <f t="shared" si="318"/>
        <v>-0,0000166666666666667</v>
      </c>
      <c r="AT376" t="str">
        <f t="shared" si="319"/>
        <v>0,000791648462139723i</v>
      </c>
      <c r="AU376">
        <f t="shared" si="342"/>
        <v>7.9164846213972302E-4</v>
      </c>
      <c r="AV376">
        <f t="shared" si="343"/>
        <v>1.5707963267948966</v>
      </c>
      <c r="AW376" t="str">
        <f t="shared" si="320"/>
        <v>1+0,266415400882307i</v>
      </c>
      <c r="AX376">
        <f t="shared" si="344"/>
        <v>1.0348802664208456</v>
      </c>
      <c r="AY376">
        <f t="shared" si="345"/>
        <v>0.26036779283761274</v>
      </c>
      <c r="AZ376" t="str">
        <f t="shared" si="321"/>
        <v>1+63,0643313231403i</v>
      </c>
      <c r="BA376">
        <f t="shared" si="346"/>
        <v>63.072259236805643</v>
      </c>
      <c r="BB376">
        <f t="shared" si="347"/>
        <v>1.5549408316408593</v>
      </c>
      <c r="BC376" s="41" t="str">
        <f t="shared" si="348"/>
        <v>-1,23447243487232+0,349935584314051i</v>
      </c>
      <c r="BD376">
        <f t="shared" si="349"/>
        <v>2.1652931820054517</v>
      </c>
      <c r="BE376" s="43">
        <f t="shared" si="350"/>
        <v>164.17357139485176</v>
      </c>
      <c r="BF376" s="41" t="str">
        <f t="shared" si="351"/>
        <v>-0,383572156889364+1,15202445617548i</v>
      </c>
      <c r="BG376" s="20">
        <f t="shared" si="352"/>
        <v>1.6858231503774208</v>
      </c>
      <c r="BH376" s="43">
        <f t="shared" si="353"/>
        <v>108.41543086329717</v>
      </c>
      <c r="BI376" s="41" t="str">
        <f t="shared" si="357"/>
        <v>-2,32094655151335+1,76602292474733i</v>
      </c>
      <c r="BJ376" s="20">
        <f t="shared" si="354"/>
        <v>9.2970647986223511</v>
      </c>
      <c r="BK376" s="43">
        <f t="shared" si="358"/>
        <v>142.73226397297756</v>
      </c>
      <c r="BL376">
        <f t="shared" si="355"/>
        <v>1.6858231503774208</v>
      </c>
      <c r="BM376" s="43">
        <f t="shared" si="356"/>
        <v>108.41543086329717</v>
      </c>
    </row>
    <row r="377" spans="14:65" x14ac:dyDescent="0.25">
      <c r="N377" s="9">
        <v>59</v>
      </c>
      <c r="O377" s="34">
        <f t="shared" si="308"/>
        <v>38904.514499428085</v>
      </c>
      <c r="P377" s="33" t="str">
        <f t="shared" si="309"/>
        <v>54,631621870174</v>
      </c>
      <c r="Q377" s="4" t="str">
        <f t="shared" si="310"/>
        <v>1+974,263243568464i</v>
      </c>
      <c r="R377" s="4">
        <f t="shared" si="322"/>
        <v>974.26375677664623</v>
      </c>
      <c r="S377" s="4">
        <f t="shared" si="323"/>
        <v>1.5697699105204199</v>
      </c>
      <c r="T377" s="4" t="str">
        <f t="shared" si="311"/>
        <v>1+12,2222136942881i</v>
      </c>
      <c r="U377" s="4">
        <f t="shared" si="324"/>
        <v>12.263054578237982</v>
      </c>
      <c r="V377" s="4">
        <f t="shared" si="325"/>
        <v>1.4891599279575807</v>
      </c>
      <c r="W377" t="str">
        <f t="shared" si="312"/>
        <v>1-0,972726594016481i</v>
      </c>
      <c r="X377" s="4">
        <f t="shared" si="326"/>
        <v>1.3950616569553131</v>
      </c>
      <c r="Y377" s="4">
        <f t="shared" si="327"/>
        <v>-0.77157381053862273</v>
      </c>
      <c r="Z377" t="str">
        <f t="shared" si="313"/>
        <v>0,993945755006255+0,133644766563711i</v>
      </c>
      <c r="AA377" s="4">
        <f t="shared" si="328"/>
        <v>1.002890366652718</v>
      </c>
      <c r="AB377" s="4">
        <f t="shared" si="329"/>
        <v>0.13365718961542117</v>
      </c>
      <c r="AC377" s="47" t="str">
        <f t="shared" si="330"/>
        <v>0,528168851159317-0,797508081617844i</v>
      </c>
      <c r="AD377" s="20">
        <f t="shared" si="331"/>
        <v>-0.38587698430282946</v>
      </c>
      <c r="AE377" s="43">
        <f t="shared" si="332"/>
        <v>-56.48452758070696</v>
      </c>
      <c r="AF377" t="str">
        <f t="shared" si="314"/>
        <v>171,265703090588</v>
      </c>
      <c r="AG377" t="str">
        <f t="shared" si="315"/>
        <v>1+964,939527339845i</v>
      </c>
      <c r="AH377">
        <f t="shared" si="333"/>
        <v>964.94004550689237</v>
      </c>
      <c r="AI377">
        <f t="shared" si="334"/>
        <v>1.5697599927929506</v>
      </c>
      <c r="AJ377" t="str">
        <f t="shared" si="316"/>
        <v>1+12,2222136942881i</v>
      </c>
      <c r="AK377">
        <f t="shared" si="335"/>
        <v>12.263054578237982</v>
      </c>
      <c r="AL377">
        <f t="shared" si="336"/>
        <v>1.4891599279575807</v>
      </c>
      <c r="AM377" t="str">
        <f t="shared" si="317"/>
        <v>1-0,307317934148245i</v>
      </c>
      <c r="AN377">
        <f t="shared" si="337"/>
        <v>1.046156925441468</v>
      </c>
      <c r="AO377">
        <f t="shared" si="338"/>
        <v>-0.29815690031619407</v>
      </c>
      <c r="AP377" s="41" t="str">
        <f t="shared" si="339"/>
        <v>2,11562994722619-0,841961691038306i</v>
      </c>
      <c r="AQ377">
        <f t="shared" si="340"/>
        <v>7.1473113419089218</v>
      </c>
      <c r="AR377" s="43">
        <f t="shared" si="341"/>
        <v>-21.701175564368178</v>
      </c>
      <c r="AS377" t="str">
        <f t="shared" si="318"/>
        <v>-0,0000166666666666667</v>
      </c>
      <c r="AT377" t="str">
        <f t="shared" si="319"/>
        <v>0,000810088323657414i</v>
      </c>
      <c r="AU377">
        <f t="shared" si="342"/>
        <v>8.1008832365741395E-4</v>
      </c>
      <c r="AV377">
        <f t="shared" si="343"/>
        <v>1.5707963267948966</v>
      </c>
      <c r="AW377" t="str">
        <f t="shared" si="320"/>
        <v>1+0,272621012758532i</v>
      </c>
      <c r="AX377">
        <f t="shared" si="344"/>
        <v>1.0364951599488961</v>
      </c>
      <c r="AY377">
        <f t="shared" si="345"/>
        <v>0.26615314297401749</v>
      </c>
      <c r="AZ377" t="str">
        <f t="shared" si="321"/>
        <v>1+64,5332883058411i</v>
      </c>
      <c r="BA377">
        <f t="shared" si="346"/>
        <v>64.541035780074111</v>
      </c>
      <c r="BB377">
        <f t="shared" si="347"/>
        <v>1.5553016883373014</v>
      </c>
      <c r="BC377" s="41" t="str">
        <f t="shared" si="348"/>
        <v>-1,2306287342532+0,356069140140386i</v>
      </c>
      <c r="BD377">
        <f t="shared" si="349"/>
        <v>2.151700591784766</v>
      </c>
      <c r="BE377" s="43">
        <f t="shared" si="350"/>
        <v>163.86277081474543</v>
      </c>
      <c r="BF377" s="41" t="str">
        <f t="shared" si="351"/>
        <v>-0,366011747897483+1,1695009897193i</v>
      </c>
      <c r="BG377" s="20">
        <f t="shared" si="352"/>
        <v>1.7658236074819444</v>
      </c>
      <c r="BH377" s="43">
        <f t="shared" si="353"/>
        <v>107.37824323403849</v>
      </c>
      <c r="BI377" s="41" t="str">
        <f t="shared" si="357"/>
        <v>-2,30375842874398+1,78945278629623i</v>
      </c>
      <c r="BJ377" s="20">
        <f t="shared" si="354"/>
        <v>9.2990119336936878</v>
      </c>
      <c r="BK377" s="43">
        <f t="shared" si="358"/>
        <v>142.16159525037739</v>
      </c>
      <c r="BL377">
        <f t="shared" si="355"/>
        <v>1.7658236074819444</v>
      </c>
      <c r="BM377" s="43">
        <f t="shared" si="356"/>
        <v>107.37824323403849</v>
      </c>
    </row>
    <row r="378" spans="14:65" x14ac:dyDescent="0.25">
      <c r="N378" s="9">
        <v>60</v>
      </c>
      <c r="O378" s="34">
        <f t="shared" si="308"/>
        <v>39810.717055349742</v>
      </c>
      <c r="P378" s="33" t="str">
        <f t="shared" si="309"/>
        <v>54,631621870174</v>
      </c>
      <c r="Q378" s="4" t="str">
        <f t="shared" si="310"/>
        <v>1+996,956749780325i</v>
      </c>
      <c r="R378" s="4">
        <f t="shared" si="322"/>
        <v>996.95725130646895</v>
      </c>
      <c r="S378" s="4">
        <f t="shared" si="323"/>
        <v>1.5697932745914294</v>
      </c>
      <c r="T378" s="4" t="str">
        <f t="shared" si="311"/>
        <v>1+12,5069056235229i</v>
      </c>
      <c r="U378" s="4">
        <f t="shared" si="324"/>
        <v>12.546819847105033</v>
      </c>
      <c r="V378" s="4">
        <f t="shared" si="325"/>
        <v>1.4910102319243006</v>
      </c>
      <c r="W378" t="str">
        <f t="shared" si="312"/>
        <v>1-0,995384307062189i</v>
      </c>
      <c r="X378" s="4">
        <f t="shared" si="326"/>
        <v>1.4109535494642176</v>
      </c>
      <c r="Y378" s="4">
        <f t="shared" si="327"/>
        <v>-0.7830849825786389</v>
      </c>
      <c r="Z378" t="str">
        <f t="shared" si="313"/>
        <v>0,993660427230156+0,136757753079642i</v>
      </c>
      <c r="AA378" s="4">
        <f t="shared" si="328"/>
        <v>1.0030272816183061</v>
      </c>
      <c r="AB378" s="4">
        <f t="shared" si="329"/>
        <v>0.13677101321540214</v>
      </c>
      <c r="AC378" s="47" t="str">
        <f t="shared" si="330"/>
        <v>0,523669347769012-0,813130503376656i</v>
      </c>
      <c r="AD378" s="20">
        <f t="shared" si="331"/>
        <v>-0.28997619541737396</v>
      </c>
      <c r="AE378" s="43">
        <f t="shared" si="332"/>
        <v>-57.217802160827731</v>
      </c>
      <c r="AF378" t="str">
        <f t="shared" si="314"/>
        <v>171,265703090588</v>
      </c>
      <c r="AG378" t="str">
        <f t="shared" si="315"/>
        <v>1+987,415856301564i</v>
      </c>
      <c r="AH378">
        <f t="shared" si="333"/>
        <v>987.41636267369529</v>
      </c>
      <c r="AI378">
        <f t="shared" si="334"/>
        <v>1.5697835826185351</v>
      </c>
      <c r="AJ378" t="str">
        <f t="shared" si="316"/>
        <v>1+12,5069056235229i</v>
      </c>
      <c r="AK378">
        <f t="shared" si="335"/>
        <v>12.546819847105033</v>
      </c>
      <c r="AL378">
        <f t="shared" si="336"/>
        <v>1.4910102319243006</v>
      </c>
      <c r="AM378" t="str">
        <f t="shared" si="317"/>
        <v>1-0,314476288416096i</v>
      </c>
      <c r="AN378">
        <f t="shared" si="337"/>
        <v>1.0482820879782138</v>
      </c>
      <c r="AO378">
        <f t="shared" si="338"/>
        <v>-0.30468431602709772</v>
      </c>
      <c r="AP378" s="41" t="str">
        <f t="shared" si="339"/>
        <v>2,11562177094893-0,853500112387375i</v>
      </c>
      <c r="AQ378">
        <f t="shared" si="340"/>
        <v>7.1636381872978427</v>
      </c>
      <c r="AR378" s="43">
        <f t="shared" si="341"/>
        <v>-21.970505925066405</v>
      </c>
      <c r="AS378" t="str">
        <f t="shared" si="318"/>
        <v>-0,0000166666666666667</v>
      </c>
      <c r="AT378" t="str">
        <f t="shared" si="319"/>
        <v>0,000828957704727096i</v>
      </c>
      <c r="AU378">
        <f t="shared" si="342"/>
        <v>8.2895770472709597E-4</v>
      </c>
      <c r="AV378">
        <f t="shared" si="343"/>
        <v>1.5707963267948966</v>
      </c>
      <c r="AW378" t="str">
        <f t="shared" si="320"/>
        <v>1+0,278971171904287i</v>
      </c>
      <c r="AX378">
        <f t="shared" si="344"/>
        <v>1.0381834687345253</v>
      </c>
      <c r="AY378">
        <f t="shared" si="345"/>
        <v>0.27205441647085871</v>
      </c>
      <c r="AZ378" t="str">
        <f t="shared" si="321"/>
        <v>1+66,0364616922006i</v>
      </c>
      <c r="BA378">
        <f t="shared" si="346"/>
        <v>66.044032832841751</v>
      </c>
      <c r="BB378">
        <f t="shared" si="347"/>
        <v>1.5556543348321494</v>
      </c>
      <c r="BC378" s="41" t="str">
        <f t="shared" si="348"/>
        <v>-1,22662945669022+0,362299826430754i</v>
      </c>
      <c r="BD378">
        <f t="shared" si="349"/>
        <v>2.137517051876622</v>
      </c>
      <c r="BE378" s="43">
        <f t="shared" si="350"/>
        <v>163.5448579054389</v>
      </c>
      <c r="BF378" s="41" t="str">
        <f t="shared" si="351"/>
        <v>-0,347751207300311+1,18713514137897i</v>
      </c>
      <c r="BG378" s="20">
        <f t="shared" si="352"/>
        <v>1.8475408564592355</v>
      </c>
      <c r="BH378" s="43">
        <f t="shared" si="353"/>
        <v>106.32705574461119</v>
      </c>
      <c r="BI378" s="41" t="str">
        <f t="shared" si="357"/>
        <v>-2,28586104088451+1,81341777955069i</v>
      </c>
      <c r="BJ378" s="20">
        <f t="shared" si="354"/>
        <v>9.301155239174463</v>
      </c>
      <c r="BK378" s="43">
        <f t="shared" si="358"/>
        <v>141.57435198037248</v>
      </c>
      <c r="BL378">
        <f t="shared" si="355"/>
        <v>1.8475408564592355</v>
      </c>
      <c r="BM378" s="43">
        <f t="shared" si="356"/>
        <v>106.32705574461119</v>
      </c>
    </row>
    <row r="379" spans="14:65" x14ac:dyDescent="0.25">
      <c r="N379" s="9">
        <v>61</v>
      </c>
      <c r="O379" s="34">
        <f t="shared" si="308"/>
        <v>40738.027780411358</v>
      </c>
      <c r="P379" s="33" t="str">
        <f t="shared" si="309"/>
        <v>54,631621870174</v>
      </c>
      <c r="Q379" s="4" t="str">
        <f t="shared" si="310"/>
        <v>1+1020,1788556572i</v>
      </c>
      <c r="R379" s="4">
        <f t="shared" si="322"/>
        <v>1020.1793457672204</v>
      </c>
      <c r="S379" s="4">
        <f t="shared" si="323"/>
        <v>1.5698161068323111</v>
      </c>
      <c r="T379" s="4" t="str">
        <f t="shared" si="311"/>
        <v>1+12,7982288796677i</v>
      </c>
      <c r="U379" s="4">
        <f t="shared" si="324"/>
        <v>12.837237337385345</v>
      </c>
      <c r="V379" s="4">
        <f t="shared" si="325"/>
        <v>1.4928189470039586</v>
      </c>
      <c r="W379" t="str">
        <f t="shared" si="312"/>
        <v>1-1,01856978604297i</v>
      </c>
      <c r="X379" s="4">
        <f t="shared" si="326"/>
        <v>1.4274047810763497</v>
      </c>
      <c r="Y379" s="4">
        <f t="shared" si="327"/>
        <v>-0.79459738075519337</v>
      </c>
      <c r="Z379" t="str">
        <f t="shared" si="313"/>
        <v>0,99336165237025+0,13994325036646i</v>
      </c>
      <c r="AA379" s="4">
        <f t="shared" si="328"/>
        <v>1.0031707161410179</v>
      </c>
      <c r="AB379" s="4">
        <f t="shared" si="329"/>
        <v>0.13995740120364694</v>
      </c>
      <c r="AC379" s="47" t="str">
        <f t="shared" si="330"/>
        <v>0,518960566011113-0,82914636826375i</v>
      </c>
      <c r="AD379" s="20">
        <f t="shared" si="331"/>
        <v>-0.19177122562162696</v>
      </c>
      <c r="AE379" s="43">
        <f t="shared" si="332"/>
        <v>-57.957657022669345</v>
      </c>
      <c r="AF379" t="str">
        <f t="shared" si="314"/>
        <v>171,265703090588</v>
      </c>
      <c r="AG379" t="str">
        <f t="shared" si="315"/>
        <v>1+1010,41572622029i</v>
      </c>
      <c r="AH379">
        <f t="shared" si="333"/>
        <v>1010.4162210659902</v>
      </c>
      <c r="AI379">
        <f t="shared" si="334"/>
        <v>1.5698066354752214</v>
      </c>
      <c r="AJ379" t="str">
        <f t="shared" si="316"/>
        <v>1+12,7982288796677i</v>
      </c>
      <c r="AK379">
        <f t="shared" si="335"/>
        <v>12.837237337385345</v>
      </c>
      <c r="AL379">
        <f t="shared" si="336"/>
        <v>1.4928189470039586</v>
      </c>
      <c r="AM379" t="str">
        <f t="shared" si="317"/>
        <v>1-0,321801382174653i</v>
      </c>
      <c r="AN379">
        <f t="shared" si="337"/>
        <v>1.0505027984586794</v>
      </c>
      <c r="AO379">
        <f t="shared" si="338"/>
        <v>-0.31133614404150423</v>
      </c>
      <c r="AP379" s="41" t="str">
        <f t="shared" si="339"/>
        <v>2,11561396266401-0,865491070047879i</v>
      </c>
      <c r="AQ379">
        <f t="shared" si="340"/>
        <v>7.1807775271689644</v>
      </c>
      <c r="AR379" s="43">
        <f t="shared" si="341"/>
        <v>-22.249316687326601</v>
      </c>
      <c r="AS379" t="str">
        <f t="shared" si="318"/>
        <v>-0,0000166666666666667</v>
      </c>
      <c r="AT379" t="str">
        <f t="shared" si="319"/>
        <v>0,000848266610144377i</v>
      </c>
      <c r="AU379">
        <f t="shared" si="342"/>
        <v>8.4826661014437705E-4</v>
      </c>
      <c r="AV379">
        <f t="shared" si="343"/>
        <v>1.5707963267948966</v>
      </c>
      <c r="AW379" t="str">
        <f t="shared" si="320"/>
        <v>1+0,285469245258007i</v>
      </c>
      <c r="AX379">
        <f t="shared" si="344"/>
        <v>1.0399484073684502</v>
      </c>
      <c r="AY379">
        <f t="shared" si="345"/>
        <v>0.27807309750725329</v>
      </c>
      <c r="AZ379" t="str">
        <f t="shared" si="321"/>
        <v>1+67,5746484846454i</v>
      </c>
      <c r="BA379">
        <f t="shared" si="346"/>
        <v>67.582047304172335</v>
      </c>
      <c r="BB379">
        <f t="shared" si="347"/>
        <v>1.5559989577522018</v>
      </c>
      <c r="BC379" s="41" t="str">
        <f t="shared" si="348"/>
        <v>-1,22246946450088+0,368625346153651i</v>
      </c>
      <c r="BD379">
        <f t="shared" si="349"/>
        <v>2.1227185401411806</v>
      </c>
      <c r="BE379" s="43">
        <f t="shared" si="350"/>
        <v>163.21975832266068</v>
      </c>
      <c r="BF379" s="41" t="str">
        <f t="shared" si="351"/>
        <v>-0,328769078215411+1,20490813509018i</v>
      </c>
      <c r="BG379" s="20">
        <f t="shared" si="352"/>
        <v>1.930947314519573</v>
      </c>
      <c r="BH379" s="43">
        <f t="shared" si="353"/>
        <v>105.26210129999129</v>
      </c>
      <c r="BI379" s="41" t="str">
        <f t="shared" si="357"/>
        <v>-2,26723152273916+1,83790533424624i</v>
      </c>
      <c r="BJ379" s="20">
        <f t="shared" si="354"/>
        <v>9.3034960673101335</v>
      </c>
      <c r="BK379" s="43">
        <f t="shared" si="358"/>
        <v>140.97044163533405</v>
      </c>
      <c r="BL379">
        <f t="shared" si="355"/>
        <v>1.930947314519573</v>
      </c>
      <c r="BM379" s="43">
        <f t="shared" si="356"/>
        <v>105.26210129999129</v>
      </c>
    </row>
    <row r="380" spans="14:65" x14ac:dyDescent="0.25">
      <c r="N380" s="9">
        <v>62</v>
      </c>
      <c r="O380" s="34">
        <f t="shared" si="308"/>
        <v>41686.938347033625</v>
      </c>
      <c r="P380" s="33" t="str">
        <f t="shared" si="309"/>
        <v>54,631621870174</v>
      </c>
      <c r="Q380" s="4" t="str">
        <f t="shared" si="310"/>
        <v>1+1043,94187386702i</v>
      </c>
      <c r="R380" s="4">
        <f t="shared" si="322"/>
        <v>1043.9423528207797</v>
      </c>
      <c r="S380" s="4">
        <f t="shared" si="323"/>
        <v>1.5698384193489259</v>
      </c>
      <c r="T380" s="4" t="str">
        <f t="shared" si="311"/>
        <v>1+13,0963379261692i</v>
      </c>
      <c r="U380" s="4">
        <f t="shared" si="324"/>
        <v>13.134461050093293</v>
      </c>
      <c r="V380" s="4">
        <f t="shared" si="325"/>
        <v>1.4945869848378406</v>
      </c>
      <c r="W380" t="str">
        <f t="shared" si="312"/>
        <v>1-1,04229532420668i</v>
      </c>
      <c r="X380" s="4">
        <f t="shared" si="326"/>
        <v>1.4444305254539271</v>
      </c>
      <c r="Y380" s="4">
        <f t="shared" si="327"/>
        <v>-0.80610490377757194</v>
      </c>
      <c r="Z380" t="str">
        <f t="shared" si="313"/>
        <v>0,993048796685002+0,14320294741699i</v>
      </c>
      <c r="AA380" s="4">
        <f t="shared" si="328"/>
        <v>1.0033209839061694</v>
      </c>
      <c r="AB380" s="4">
        <f t="shared" si="329"/>
        <v>0.14321804564884694</v>
      </c>
      <c r="AC380" s="47" t="str">
        <f t="shared" si="330"/>
        <v>0,514032877702355-0,845561488017373i</v>
      </c>
      <c r="AD380" s="20">
        <f t="shared" si="331"/>
        <v>-9.1268080940945989E-2</v>
      </c>
      <c r="AE380" s="43">
        <f t="shared" si="332"/>
        <v>-58.703787996835381</v>
      </c>
      <c r="AF380" t="str">
        <f t="shared" si="314"/>
        <v>171,265703090588</v>
      </c>
      <c r="AG380" t="str">
        <f t="shared" si="315"/>
        <v>1+1033,9513319315i</v>
      </c>
      <c r="AH380">
        <f t="shared" si="333"/>
        <v>1033.951815513142</v>
      </c>
      <c r="AI380">
        <f t="shared" si="334"/>
        <v>1.5698291635858408</v>
      </c>
      <c r="AJ380" t="str">
        <f t="shared" si="316"/>
        <v>1+13,0963379261692i</v>
      </c>
      <c r="AK380">
        <f t="shared" si="335"/>
        <v>13.134461050093293</v>
      </c>
      <c r="AL380">
        <f t="shared" si="336"/>
        <v>1.4945869848378406</v>
      </c>
      <c r="AM380" t="str">
        <f t="shared" si="317"/>
        <v>1-0,329297099285584i</v>
      </c>
      <c r="AN380">
        <f t="shared" si="337"/>
        <v>1.0528231473509213</v>
      </c>
      <c r="AO380">
        <f t="shared" si="338"/>
        <v>-0.31811355583755596</v>
      </c>
      <c r="AP380" s="41" t="str">
        <f t="shared" si="339"/>
        <v>2,11560650580913-0,877940921834049i</v>
      </c>
      <c r="AQ380">
        <f t="shared" si="340"/>
        <v>7.1987556678057203</v>
      </c>
      <c r="AR380" s="43">
        <f t="shared" si="341"/>
        <v>-22.537623439020567</v>
      </c>
      <c r="AS380" t="str">
        <f t="shared" si="318"/>
        <v>-0,0000166666666666667</v>
      </c>
      <c r="AT380" t="str">
        <f t="shared" si="319"/>
        <v>0,000868025277746491i</v>
      </c>
      <c r="AU380">
        <f t="shared" si="342"/>
        <v>8.6802527774649098E-4</v>
      </c>
      <c r="AV380">
        <f t="shared" si="343"/>
        <v>1.5707963267948966</v>
      </c>
      <c r="AW380" t="str">
        <f t="shared" si="320"/>
        <v>1+0,292118678184195i</v>
      </c>
      <c r="AX380">
        <f t="shared" si="344"/>
        <v>1.0417933202627483</v>
      </c>
      <c r="AY380">
        <f t="shared" si="345"/>
        <v>0.28421063239093475</v>
      </c>
      <c r="AZ380" t="str">
        <f t="shared" si="321"/>
        <v>1+69,1486642501731i</v>
      </c>
      <c r="BA380">
        <f t="shared" si="346"/>
        <v>69.155894669819489</v>
      </c>
      <c r="BB380">
        <f t="shared" si="347"/>
        <v>1.5563357394934711</v>
      </c>
      <c r="BC380" s="41" t="str">
        <f t="shared" si="348"/>
        <v>-1,21814355333683+0,375043154359407i</v>
      </c>
      <c r="BD380">
        <f t="shared" si="349"/>
        <v>2.1072802565542674</v>
      </c>
      <c r="BE380" s="43">
        <f t="shared" si="350"/>
        <v>162.88739964960305</v>
      </c>
      <c r="BF380" s="41" t="str">
        <f t="shared" si="351"/>
        <v>-0,309043788505433+1,22279978747619i</v>
      </c>
      <c r="BG380" s="20">
        <f t="shared" si="352"/>
        <v>2.0160121756132905</v>
      </c>
      <c r="BH380" s="43">
        <f t="shared" si="353"/>
        <v>104.18361165276774</v>
      </c>
      <c r="BI380" s="41" t="str">
        <f t="shared" si="357"/>
        <v>-2,247846693783+1,86290181146468i</v>
      </c>
      <c r="BJ380" s="20">
        <f t="shared" si="354"/>
        <v>9.3060359243599873</v>
      </c>
      <c r="BK380" s="43">
        <f t="shared" si="358"/>
        <v>140.34977621058249</v>
      </c>
      <c r="BL380">
        <f t="shared" si="355"/>
        <v>2.0160121756132905</v>
      </c>
      <c r="BM380" s="43">
        <f t="shared" si="356"/>
        <v>104.18361165276774</v>
      </c>
    </row>
    <row r="381" spans="14:65" x14ac:dyDescent="0.25">
      <c r="N381" s="9">
        <v>63</v>
      </c>
      <c r="O381" s="34">
        <f t="shared" si="308"/>
        <v>42657.951880159271</v>
      </c>
      <c r="P381" s="33" t="str">
        <f t="shared" si="309"/>
        <v>54,631621870174</v>
      </c>
      <c r="Q381" s="4" t="str">
        <f t="shared" si="310"/>
        <v>1+1068,25840387656i</v>
      </c>
      <c r="R381" s="4">
        <f t="shared" si="322"/>
        <v>1068.2588719280056</v>
      </c>
      <c r="S381" s="4">
        <f t="shared" si="323"/>
        <v>1.5698602239715769</v>
      </c>
      <c r="T381" s="4" t="str">
        <f t="shared" si="311"/>
        <v>1+13,4013908243896i</v>
      </c>
      <c r="U381" s="4">
        <f t="shared" si="324"/>
        <v>13.43864859381455</v>
      </c>
      <c r="V381" s="4">
        <f t="shared" si="325"/>
        <v>1.4963152386238052</v>
      </c>
      <c r="W381" t="str">
        <f t="shared" si="312"/>
        <v>1-1,0665735011477i</v>
      </c>
      <c r="X381" s="4">
        <f t="shared" si="326"/>
        <v>1.4620461803070595</v>
      </c>
      <c r="Y381" s="4">
        <f t="shared" si="327"/>
        <v>-0.81760146326253902</v>
      </c>
      <c r="Z381" t="str">
        <f t="shared" si="313"/>
        <v>0,99272119656556+0,146538572565755i</v>
      </c>
      <c r="AA381" s="4">
        <f t="shared" si="328"/>
        <v>1.0034784139981121</v>
      </c>
      <c r="AB381" s="4">
        <f t="shared" si="329"/>
        <v>0.14655467808945805</v>
      </c>
      <c r="AC381" s="47" t="str">
        <f t="shared" si="330"/>
        <v>0,508876225092771-0,862381696294819i</v>
      </c>
      <c r="AD381" s="20">
        <f t="shared" si="331"/>
        <v>1.1524779065992669E-2</v>
      </c>
      <c r="AE381" s="43">
        <f t="shared" si="332"/>
        <v>-59.455894955867059</v>
      </c>
      <c r="AF381" t="str">
        <f t="shared" si="314"/>
        <v>171,265703090588</v>
      </c>
      <c r="AG381" t="str">
        <f t="shared" si="315"/>
        <v>1+1058,03515232485i</v>
      </c>
      <c r="AH381">
        <f t="shared" si="333"/>
        <v>1058.0356248988353</v>
      </c>
      <c r="AI381">
        <f t="shared" si="334"/>
        <v>1.5698511788950045</v>
      </c>
      <c r="AJ381" t="str">
        <f t="shared" si="316"/>
        <v>1+13,4013908243896i</v>
      </c>
      <c r="AK381">
        <f t="shared" si="335"/>
        <v>13.43864859381455</v>
      </c>
      <c r="AL381">
        <f t="shared" si="336"/>
        <v>1.4963152386238052</v>
      </c>
      <c r="AM381" t="str">
        <f t="shared" si="317"/>
        <v>1-0,336967414077318i</v>
      </c>
      <c r="AN381">
        <f t="shared" si="337"/>
        <v>1.0552473824416504</v>
      </c>
      <c r="AO381">
        <f t="shared" si="338"/>
        <v>-0.32501765355858958</v>
      </c>
      <c r="AP381" s="41" t="str">
        <f t="shared" si="339"/>
        <v>2,11559938456741-0,890856268868546i</v>
      </c>
      <c r="AQ381">
        <f t="shared" si="340"/>
        <v>7.2175998421846597</v>
      </c>
      <c r="AR381" s="43">
        <f t="shared" si="341"/>
        <v>-22.835438836218156</v>
      </c>
      <c r="AS381" t="str">
        <f t="shared" si="318"/>
        <v>-0,0000166666666666667</v>
      </c>
      <c r="AT381" t="str">
        <f t="shared" si="319"/>
        <v>0,000888244183840538i</v>
      </c>
      <c r="AU381">
        <f t="shared" si="342"/>
        <v>8.8824418384053801E-4</v>
      </c>
      <c r="AV381">
        <f t="shared" si="343"/>
        <v>1.5707963267948966</v>
      </c>
      <c r="AW381" t="str">
        <f t="shared" si="320"/>
        <v>1+0,298922996300204i</v>
      </c>
      <c r="AX381">
        <f t="shared" si="344"/>
        <v>1.0437216859475</v>
      </c>
      <c r="AY381">
        <f t="shared" si="345"/>
        <v>0.29046842503533421</v>
      </c>
      <c r="AZ381" t="str">
        <f t="shared" si="321"/>
        <v>1+70,7593435527768i</v>
      </c>
      <c r="BA381">
        <f t="shared" si="346"/>
        <v>70.766409404603081</v>
      </c>
      <c r="BB381">
        <f t="shared" si="347"/>
        <v>1.5566648583163321</v>
      </c>
      <c r="BC381" s="41" t="str">
        <f t="shared" si="348"/>
        <v>-1,2136464613537+0,381550445794704i</v>
      </c>
      <c r="BD381">
        <f t="shared" si="349"/>
        <v>2.0911766136024528</v>
      </c>
      <c r="BE381" s="43">
        <f t="shared" si="350"/>
        <v>162.5477116615192</v>
      </c>
      <c r="BF381" s="41" t="str">
        <f t="shared" si="351"/>
        <v>-0,288553709184389+1,24078844458288i</v>
      </c>
      <c r="BG381" s="20">
        <f t="shared" si="352"/>
        <v>2.1027013926684393</v>
      </c>
      <c r="BH381" s="43">
        <f t="shared" si="353"/>
        <v>103.09181670565214</v>
      </c>
      <c r="BI381" s="41" t="str">
        <f t="shared" si="357"/>
        <v>-2,2276831001965+1,88839244659177i</v>
      </c>
      <c r="BJ381" s="20">
        <f t="shared" si="354"/>
        <v>9.3087764557871147</v>
      </c>
      <c r="BK381" s="43">
        <f t="shared" si="358"/>
        <v>139.71227282530097</v>
      </c>
      <c r="BL381">
        <f t="shared" si="355"/>
        <v>2.1027013926684393</v>
      </c>
      <c r="BM381" s="43">
        <f t="shared" si="356"/>
        <v>103.09181670565214</v>
      </c>
    </row>
    <row r="382" spans="14:65" x14ac:dyDescent="0.25">
      <c r="N382" s="9">
        <v>64</v>
      </c>
      <c r="O382" s="34">
        <f t="shared" si="308"/>
        <v>43651.583224016598</v>
      </c>
      <c r="P382" s="33" t="str">
        <f t="shared" si="309"/>
        <v>54,631621870174</v>
      </c>
      <c r="Q382" s="4" t="str">
        <f t="shared" si="310"/>
        <v>1+1093,1413386319i</v>
      </c>
      <c r="R382" s="4">
        <f t="shared" si="322"/>
        <v>1093.1417960291988</v>
      </c>
      <c r="S382" s="4">
        <f t="shared" si="323"/>
        <v>1.5698815322612805</v>
      </c>
      <c r="T382" s="4" t="str">
        <f t="shared" si="311"/>
        <v>1+13,7135493174134i</v>
      </c>
      <c r="U382" s="4">
        <f t="shared" si="324"/>
        <v>13.749961268350161</v>
      </c>
      <c r="V382" s="4">
        <f t="shared" si="325"/>
        <v>1.4980045833853459</v>
      </c>
      <c r="W382" t="str">
        <f t="shared" si="312"/>
        <v>1-1,09141718947678i</v>
      </c>
      <c r="X382" s="4">
        <f t="shared" si="326"/>
        <v>1.4802673682431133</v>
      </c>
      <c r="Y382" s="4">
        <f t="shared" si="327"/>
        <v>-0.82908099980608585</v>
      </c>
      <c r="Z382" t="str">
        <f t="shared" si="313"/>
        <v>0,992378157128147+0,149951894405361i</v>
      </c>
      <c r="AA382" s="4">
        <f t="shared" si="328"/>
        <v>1.0036433516846577</v>
      </c>
      <c r="AB382" s="4">
        <f t="shared" si="329"/>
        <v>0.149969070448148</v>
      </c>
      <c r="AC382" s="47" t="str">
        <f t="shared" si="330"/>
        <v>0,503480102892668-0,879612838431191i</v>
      </c>
      <c r="AD382" s="20">
        <f t="shared" si="331"/>
        <v>0.11659644333745832</v>
      </c>
      <c r="AE382" s="43">
        <f t="shared" si="332"/>
        <v>-60.213682772422956</v>
      </c>
      <c r="AF382" t="str">
        <f t="shared" si="314"/>
        <v>171,265703090588</v>
      </c>
      <c r="AG382" t="str">
        <f t="shared" si="315"/>
        <v>1+1082,67995696072i</v>
      </c>
      <c r="AH382">
        <f t="shared" si="333"/>
        <v>1082.6804187776124</v>
      </c>
      <c r="AI382">
        <f t="shared" si="334"/>
        <v>1.5698726930754356</v>
      </c>
      <c r="AJ382" t="str">
        <f t="shared" si="316"/>
        <v>1+13,7135493174134i</v>
      </c>
      <c r="AK382">
        <f t="shared" si="335"/>
        <v>13.749961268350161</v>
      </c>
      <c r="AL382">
        <f t="shared" si="336"/>
        <v>1.4980045833853459</v>
      </c>
      <c r="AM382" t="str">
        <f t="shared" si="317"/>
        <v>1-0,344816393452286i</v>
      </c>
      <c r="AN382">
        <f t="shared" si="337"/>
        <v>1.0577799134004398</v>
      </c>
      <c r="AO382">
        <f t="shared" si="338"/>
        <v>-0.33204946420696946</v>
      </c>
      <c r="AP382" s="41" t="str">
        <f t="shared" si="339"/>
        <v>2,11559258383378-0,904243959082646i</v>
      </c>
      <c r="AQ382">
        <f t="shared" si="340"/>
        <v>7.2373382025677824</v>
      </c>
      <c r="AR382" s="43">
        <f t="shared" si="341"/>
        <v>-23.14277225546504</v>
      </c>
      <c r="AS382" t="str">
        <f t="shared" si="318"/>
        <v>-0,0000166666666666667</v>
      </c>
      <c r="AT382" t="str">
        <f t="shared" si="319"/>
        <v>0,00090893404875816i</v>
      </c>
      <c r="AU382">
        <f t="shared" si="342"/>
        <v>9.0893404875815997E-4</v>
      </c>
      <c r="AV382">
        <f t="shared" si="343"/>
        <v>1.5707963267948966</v>
      </c>
      <c r="AW382" t="str">
        <f t="shared" si="320"/>
        <v>1+0,305885807345564i</v>
      </c>
      <c r="AX382">
        <f t="shared" si="344"/>
        <v>1.0457371214294</v>
      </c>
      <c r="AY382">
        <f t="shared" si="345"/>
        <v>0.29684783222307864</v>
      </c>
      <c r="AZ382" t="str">
        <f t="shared" si="321"/>
        <v>1+72,4075403959427i</v>
      </c>
      <c r="BA382">
        <f t="shared" si="346"/>
        <v>72.414445424860318</v>
      </c>
      <c r="BB382">
        <f t="shared" si="347"/>
        <v>1.5569864884385778</v>
      </c>
      <c r="BC382" s="41" t="str">
        <f t="shared" si="348"/>
        <v>-1,20897287944957+0,388144142518621i</v>
      </c>
      <c r="BD382">
        <f t="shared" si="349"/>
        <v>2.0743812281536327</v>
      </c>
      <c r="BE382" s="43">
        <f t="shared" si="350"/>
        <v>162.20062660243499</v>
      </c>
      <c r="BF382" s="41" t="str">
        <f t="shared" si="351"/>
        <v>-0,26727721881847+1,25885091889143i</v>
      </c>
      <c r="BG382" s="20">
        <f t="shared" si="352"/>
        <v>2.1909776714911038</v>
      </c>
      <c r="BH382" s="43">
        <f t="shared" si="353"/>
        <v>101.98694383001201</v>
      </c>
      <c r="BI382" s="41" t="str">
        <f t="shared" si="357"/>
        <v>-2,2067170616939+1,91436129230794i</v>
      </c>
      <c r="BJ382" s="20">
        <f t="shared" si="354"/>
        <v>9.3117194307214017</v>
      </c>
      <c r="BK382" s="43">
        <f t="shared" si="358"/>
        <v>139.05785434696992</v>
      </c>
      <c r="BL382">
        <f t="shared" si="355"/>
        <v>2.1909776714911038</v>
      </c>
      <c r="BM382" s="43">
        <f t="shared" si="356"/>
        <v>101.98694383001201</v>
      </c>
    </row>
    <row r="383" spans="14:65" x14ac:dyDescent="0.25">
      <c r="N383" s="9">
        <v>65</v>
      </c>
      <c r="O383" s="34">
        <f t="shared" si="308"/>
        <v>44668.359215096389</v>
      </c>
      <c r="P383" s="33" t="str">
        <f t="shared" si="309"/>
        <v>54,631621870174</v>
      </c>
      <c r="Q383" s="4" t="str">
        <f t="shared" si="310"/>
        <v>1+1118,60387139443i</v>
      </c>
      <c r="R383" s="4">
        <f t="shared" si="322"/>
        <v>1118.6043183800991</v>
      </c>
      <c r="S383" s="4">
        <f t="shared" si="323"/>
        <v>1.5699023555158964</v>
      </c>
      <c r="T383" s="4" t="str">
        <f t="shared" si="311"/>
        <v>1+14,0329789158057i</v>
      </c>
      <c r="U383" s="4">
        <f t="shared" si="324"/>
        <v>14.068564150312117</v>
      </c>
      <c r="V383" s="4">
        <f t="shared" si="325"/>
        <v>1.4996558762442342</v>
      </c>
      <c r="W383" t="str">
        <f t="shared" si="312"/>
        <v>1-1,11683956164635i</v>
      </c>
      <c r="X383" s="4">
        <f t="shared" si="326"/>
        <v>1.4991099380827315</v>
      </c>
      <c r="Y383" s="4">
        <f t="shared" si="327"/>
        <v>-0.84053749886870222</v>
      </c>
      <c r="Z383" t="str">
        <f t="shared" si="313"/>
        <v>0,992018950740124+0,15344472272423i</v>
      </c>
      <c r="AA383" s="4">
        <f t="shared" si="328"/>
        <v>1.0038161592440382</v>
      </c>
      <c r="AB383" s="4">
        <f t="shared" si="329"/>
        <v>0.15346303596611777</v>
      </c>
      <c r="AC383" s="47" t="str">
        <f t="shared" si="330"/>
        <v>0,497833539675399-0,897260760280745i</v>
      </c>
      <c r="AD383" s="20">
        <f t="shared" si="331"/>
        <v>0.22393356138418333</v>
      </c>
      <c r="AE383" s="43">
        <f t="shared" si="332"/>
        <v>-60.976862267701165</v>
      </c>
      <c r="AF383" t="str">
        <f t="shared" si="314"/>
        <v>171,265703090588</v>
      </c>
      <c r="AG383" t="str">
        <f t="shared" si="315"/>
        <v>1+1107,89881284073i</v>
      </c>
      <c r="AH383">
        <f t="shared" si="333"/>
        <v>1107.899264145391</v>
      </c>
      <c r="AI383">
        <f t="shared" si="334"/>
        <v>1.5698937175341572</v>
      </c>
      <c r="AJ383" t="str">
        <f t="shared" si="316"/>
        <v>1+14,0329789158057i</v>
      </c>
      <c r="AK383">
        <f t="shared" si="335"/>
        <v>14.068564150312117</v>
      </c>
      <c r="AL383">
        <f t="shared" si="336"/>
        <v>1.4996558762442342</v>
      </c>
      <c r="AM383" t="str">
        <f t="shared" si="317"/>
        <v>1-0,352848199043248i</v>
      </c>
      <c r="AN383">
        <f t="shared" si="337"/>
        <v>1.0604253163556892</v>
      </c>
      <c r="AO383">
        <f t="shared" si="338"/>
        <v>-0.33920993365232216</v>
      </c>
      <c r="AP383" s="41" t="str">
        <f t="shared" si="339"/>
        <v>2,1155860891831-0,918111090847377i</v>
      </c>
      <c r="AQ383">
        <f t="shared" si="340"/>
        <v>7.2579998106864609</v>
      </c>
      <c r="AR383" s="43">
        <f t="shared" si="341"/>
        <v>-23.459629435212953</v>
      </c>
      <c r="AS383" t="str">
        <f t="shared" si="318"/>
        <v>-0,0000166666666666667</v>
      </c>
      <c r="AT383" t="str">
        <f t="shared" si="319"/>
        <v>0,0009301058425396i</v>
      </c>
      <c r="AU383">
        <f t="shared" si="342"/>
        <v>9.3010584253960002E-4</v>
      </c>
      <c r="AV383">
        <f t="shared" si="343"/>
        <v>1.5707963267948966</v>
      </c>
      <c r="AW383" t="str">
        <f t="shared" si="320"/>
        <v>1+0,313010803094857i</v>
      </c>
      <c r="AX383">
        <f t="shared" si="344"/>
        <v>1.0478433866060746</v>
      </c>
      <c r="AY383">
        <f t="shared" si="345"/>
        <v>0.30335015865649961</v>
      </c>
      <c r="AZ383" t="str">
        <f t="shared" si="321"/>
        <v>1+74,0941286754541i</v>
      </c>
      <c r="BA383">
        <f t="shared" si="346"/>
        <v>74.100876541203945</v>
      </c>
      <c r="BB383">
        <f t="shared" si="347"/>
        <v>1.557300800126433</v>
      </c>
      <c r="BC383" s="41" t="str">
        <f t="shared" si="348"/>
        <v>-1,20411746262487+0,394820881591173i</v>
      </c>
      <c r="BD383">
        <f t="shared" si="349"/>
        <v>2.0568669149698247</v>
      </c>
      <c r="BE383" s="43">
        <f t="shared" si="350"/>
        <v>161.84607947394943</v>
      </c>
      <c r="BF383" s="41" t="str">
        <f t="shared" si="351"/>
        <v>-0,245192774212289+1,27696242700241i</v>
      </c>
      <c r="BG383" s="20">
        <f t="shared" si="352"/>
        <v>2.2808004763540204</v>
      </c>
      <c r="BH383" s="43">
        <f t="shared" si="353"/>
        <v>100.86921720624827</v>
      </c>
      <c r="BI383" s="41" t="str">
        <f t="shared" si="357"/>
        <v>-2,18492472338463+1,94079116193219i</v>
      </c>
      <c r="BJ383" s="20">
        <f t="shared" si="354"/>
        <v>9.3148667256562856</v>
      </c>
      <c r="BK383" s="43">
        <f t="shared" si="358"/>
        <v>138.38645003873646</v>
      </c>
      <c r="BL383">
        <f t="shared" si="355"/>
        <v>2.2808004763540204</v>
      </c>
      <c r="BM383" s="43">
        <f t="shared" si="356"/>
        <v>100.86921720624827</v>
      </c>
    </row>
    <row r="384" spans="14:65" x14ac:dyDescent="0.25">
      <c r="N384" s="9">
        <v>66</v>
      </c>
      <c r="O384" s="34">
        <f t="shared" ref="O384:O418" si="359">10^(4+(N384/100))</f>
        <v>45708.818961487581</v>
      </c>
      <c r="P384" s="33" t="str">
        <f t="shared" si="309"/>
        <v>54,631621870174</v>
      </c>
      <c r="Q384" s="4" t="str">
        <f t="shared" si="310"/>
        <v>1+1144,65950273604i</v>
      </c>
      <c r="R384" s="4">
        <f t="shared" si="322"/>
        <v>1144.6599395470773</v>
      </c>
      <c r="S384" s="4">
        <f t="shared" si="323"/>
        <v>1.5699227047761175</v>
      </c>
      <c r="T384" s="4" t="str">
        <f t="shared" si="311"/>
        <v>1+14,3598489853675i</v>
      </c>
      <c r="U384" s="4">
        <f t="shared" si="324"/>
        <v>14.394626180716193</v>
      </c>
      <c r="V384" s="4">
        <f t="shared" si="325"/>
        <v>1.5012699566960563</v>
      </c>
      <c r="W384" t="str">
        <f t="shared" si="312"/>
        <v>1-1,14285409693462i</v>
      </c>
      <c r="X384" s="4">
        <f t="shared" si="326"/>
        <v>1.5185899666731126</v>
      </c>
      <c r="Y384" s="4">
        <f t="shared" si="327"/>
        <v>-0.8519650063730162</v>
      </c>
      <c r="Z384" t="str">
        <f t="shared" si="313"/>
        <v>0,991642815476584+0,157018909466168i</v>
      </c>
      <c r="AA384" s="4">
        <f t="shared" si="328"/>
        <v>1.0039972168369149</v>
      </c>
      <c r="AB384" s="4">
        <f t="shared" si="329"/>
        <v>0.15703843015752234</v>
      </c>
      <c r="AC384" s="47" t="str">
        <f t="shared" si="330"/>
        <v>0,491925078647937-0,915331296072265i</v>
      </c>
      <c r="AD384" s="20">
        <f t="shared" si="331"/>
        <v>0.33352036517086409</v>
      </c>
      <c r="AE384" s="43">
        <f t="shared" si="332"/>
        <v>-61.745151144358459</v>
      </c>
      <c r="AF384" t="str">
        <f t="shared" si="314"/>
        <v>171,265703090588</v>
      </c>
      <c r="AG384" t="str">
        <f t="shared" si="315"/>
        <v>1+1133,70509133609i</v>
      </c>
      <c r="AH384">
        <f t="shared" si="333"/>
        <v>1133.7055323678067</v>
      </c>
      <c r="AI384">
        <f t="shared" si="334"/>
        <v>1.5699142634185417</v>
      </c>
      <c r="AJ384" t="str">
        <f t="shared" si="316"/>
        <v>1+14,3598489853675i</v>
      </c>
      <c r="AK384">
        <f t="shared" si="335"/>
        <v>14.394626180716193</v>
      </c>
      <c r="AL384">
        <f t="shared" si="336"/>
        <v>1.5012699566960563</v>
      </c>
      <c r="AM384" t="str">
        <f t="shared" si="317"/>
        <v>1-0,36106708941984i</v>
      </c>
      <c r="AN384">
        <f t="shared" si="337"/>
        <v>1.0631883384716532</v>
      </c>
      <c r="AO384">
        <f t="shared" si="338"/>
        <v>-0.34649992046521277</v>
      </c>
      <c r="AP384" s="41" t="str">
        <f t="shared" si="339"/>
        <v>2,11557988683936-0,932465016737283i</v>
      </c>
      <c r="AQ384">
        <f t="shared" si="340"/>
        <v>7.2796146253040641</v>
      </c>
      <c r="AR384" s="43">
        <f t="shared" si="341"/>
        <v>-23.786012107075184</v>
      </c>
      <c r="AS384" t="str">
        <f t="shared" si="318"/>
        <v>-0,0000166666666666667</v>
      </c>
      <c r="AT384" t="str">
        <f t="shared" si="319"/>
        <v>0,000951770790750159i</v>
      </c>
      <c r="AU384">
        <f t="shared" si="342"/>
        <v>9.5177079075015904E-4</v>
      </c>
      <c r="AV384">
        <f t="shared" si="343"/>
        <v>1.5707963267948966</v>
      </c>
      <c r="AW384" t="str">
        <f t="shared" si="320"/>
        <v>1+0,320301761315137i</v>
      </c>
      <c r="AX384">
        <f t="shared" si="344"/>
        <v>1.0500443887291522</v>
      </c>
      <c r="AY384">
        <f t="shared" si="345"/>
        <v>0.3099766517970261</v>
      </c>
      <c r="AZ384" t="str">
        <f t="shared" si="321"/>
        <v>1+75,8200026427404i</v>
      </c>
      <c r="BA384">
        <f t="shared" si="346"/>
        <v>75.826596921826592</v>
      </c>
      <c r="BB384">
        <f t="shared" si="347"/>
        <v>1.557607959783561</v>
      </c>
      <c r="BC384" s="41" t="str">
        <f t="shared" si="348"/>
        <v>-1,19907484251354+0,401577002913337i</v>
      </c>
      <c r="BD384">
        <f t="shared" si="349"/>
        <v>2.0386056820339782</v>
      </c>
      <c r="BE384" s="43">
        <f t="shared" si="350"/>
        <v>161.48400833601502</v>
      </c>
      <c r="BF384" s="41" t="str">
        <f t="shared" si="351"/>
        <v>-0,222278987658755+1,29509652842691i</v>
      </c>
      <c r="BG384" s="20">
        <f t="shared" si="352"/>
        <v>2.3721260472048287</v>
      </c>
      <c r="BH384" s="43">
        <f t="shared" si="353"/>
        <v>99.738857191656564</v>
      </c>
      <c r="BI384" s="41" t="str">
        <f t="shared" si="357"/>
        <v>-2,16228211289383+1,96766357347433i</v>
      </c>
      <c r="BJ384" s="20">
        <f t="shared" si="354"/>
        <v>9.3182203073380521</v>
      </c>
      <c r="BK384" s="43">
        <f t="shared" si="358"/>
        <v>137.6979962289399</v>
      </c>
      <c r="BL384">
        <f t="shared" si="355"/>
        <v>2.3721260472048287</v>
      </c>
      <c r="BM384" s="43">
        <f t="shared" si="356"/>
        <v>99.738857191656564</v>
      </c>
    </row>
    <row r="385" spans="14:65" x14ac:dyDescent="0.25">
      <c r="N385" s="9">
        <v>67</v>
      </c>
      <c r="O385" s="34">
        <f t="shared" si="359"/>
        <v>46773.514128719893</v>
      </c>
      <c r="P385" s="33" t="str">
        <f t="shared" si="309"/>
        <v>54,631621870174</v>
      </c>
      <c r="Q385" s="4" t="str">
        <f t="shared" si="310"/>
        <v>1+1171,32204769737i</v>
      </c>
      <c r="R385" s="4">
        <f t="shared" si="322"/>
        <v>1171.3224745653774</v>
      </c>
      <c r="S385" s="4">
        <f t="shared" si="323"/>
        <v>1.5699425908313238</v>
      </c>
      <c r="T385" s="4" t="str">
        <f t="shared" si="311"/>
        <v>1+14,6943328369365i</v>
      </c>
      <c r="U385" s="4">
        <f t="shared" si="324"/>
        <v>14.728320254620696</v>
      </c>
      <c r="V385" s="4">
        <f t="shared" si="325"/>
        <v>1.5028476468880065</v>
      </c>
      <c r="W385" t="str">
        <f t="shared" si="312"/>
        <v>1-1,16947458859255i</v>
      </c>
      <c r="X385" s="4">
        <f t="shared" si="326"/>
        <v>1.5387237612267233</v>
      </c>
      <c r="Y385" s="4">
        <f t="shared" si="327"/>
        <v>-0.86335764391637804</v>
      </c>
      <c r="Z385" t="str">
        <f t="shared" si="313"/>
        <v>0,991248953504202+0,160676349712296i</v>
      </c>
      <c r="AA385" s="4">
        <f t="shared" si="328"/>
        <v>1.0041869234261336</v>
      </c>
      <c r="AB385" s="4">
        <f t="shared" si="329"/>
        <v>0.16069715178421587</v>
      </c>
      <c r="AC385" s="47" t="str">
        <f t="shared" si="330"/>
        <v>0,485742757782915-0,933830255206121i</v>
      </c>
      <c r="AD385" s="20">
        <f t="shared" si="331"/>
        <v>0.44533870048109825</v>
      </c>
      <c r="AE385" s="43">
        <f t="shared" si="332"/>
        <v>-62.518274898394651</v>
      </c>
      <c r="AF385" t="str">
        <f t="shared" si="314"/>
        <v>171,265703090588</v>
      </c>
      <c r="AG385" t="str">
        <f t="shared" si="315"/>
        <v>1+1160,11247527723i</v>
      </c>
      <c r="AH385">
        <f t="shared" si="333"/>
        <v>1160.1129062698431</v>
      </c>
      <c r="AI385">
        <f t="shared" si="334"/>
        <v>1.5699343416222191</v>
      </c>
      <c r="AJ385" t="str">
        <f t="shared" si="316"/>
        <v>1+14,6943328369365i</v>
      </c>
      <c r="AK385">
        <f t="shared" si="335"/>
        <v>14.728320254620696</v>
      </c>
      <c r="AL385">
        <f t="shared" si="336"/>
        <v>1.5028476468880065</v>
      </c>
      <c r="AM385" t="str">
        <f t="shared" si="317"/>
        <v>1-0,369477422346531i</v>
      </c>
      <c r="AN385">
        <f t="shared" si="337"/>
        <v>1.0660739025151291</v>
      </c>
      <c r="AO385">
        <f t="shared" si="338"/>
        <v>-0.35392018958955257</v>
      </c>
      <c r="AP385" s="41" t="str">
        <f t="shared" si="339"/>
        <v>2,11557396364667-0,947313347429127i</v>
      </c>
      <c r="AQ385">
        <f t="shared" si="340"/>
        <v>7.3022134869475455</v>
      </c>
      <c r="AR385" s="43">
        <f t="shared" si="341"/>
        <v>-24.121917617704224</v>
      </c>
      <c r="AS385" t="str">
        <f t="shared" si="318"/>
        <v>-0,0000166666666666667</v>
      </c>
      <c r="AT385" t="str">
        <f t="shared" si="319"/>
        <v>0,00097394038043215i</v>
      </c>
      <c r="AU385">
        <f t="shared" si="342"/>
        <v>9.7394038043215005E-4</v>
      </c>
      <c r="AV385">
        <f t="shared" si="343"/>
        <v>1.5707963267948966</v>
      </c>
      <c r="AW385" t="str">
        <f t="shared" si="320"/>
        <v>1+0,327762547768964i</v>
      </c>
      <c r="AX385">
        <f t="shared" si="344"/>
        <v>1.052344186908448</v>
      </c>
      <c r="AY385">
        <f t="shared" si="345"/>
        <v>0.31672849649682955</v>
      </c>
      <c r="AZ385" t="str">
        <f t="shared" si="321"/>
        <v>1+77,5860773790247i</v>
      </c>
      <c r="BA385">
        <f t="shared" si="346"/>
        <v>77.59252156660466</v>
      </c>
      <c r="BB385">
        <f t="shared" si="347"/>
        <v>1.5579081300381079</v>
      </c>
      <c r="BC385" s="41" t="str">
        <f t="shared" si="348"/>
        <v>-1,19383964113235+0,408408537305919i</v>
      </c>
      <c r="BD385">
        <f t="shared" si="349"/>
        <v>2.0195687278729455</v>
      </c>
      <c r="BE385" s="43">
        <f t="shared" si="350"/>
        <v>161.11435461950933</v>
      </c>
      <c r="BF385" s="41" t="str">
        <f t="shared" si="351"/>
        <v>-0,198514711013448+1,31322506596687i</v>
      </c>
      <c r="BG385" s="20">
        <f t="shared" si="352"/>
        <v>2.4649074283540449</v>
      </c>
      <c r="BH385" s="43">
        <f t="shared" si="353"/>
        <v>98.596079721114648</v>
      </c>
      <c r="BI385" s="41" t="str">
        <f t="shared" si="357"/>
        <v>-2,13876520295498+1,9949586947901i</v>
      </c>
      <c r="BJ385" s="20">
        <f t="shared" si="354"/>
        <v>9.3217822148204981</v>
      </c>
      <c r="BK385" s="43">
        <f t="shared" si="358"/>
        <v>136.99243700180506</v>
      </c>
      <c r="BL385">
        <f t="shared" si="355"/>
        <v>2.4649074283540449</v>
      </c>
      <c r="BM385" s="43">
        <f t="shared" si="356"/>
        <v>98.596079721114648</v>
      </c>
    </row>
    <row r="386" spans="14:65" x14ac:dyDescent="0.25">
      <c r="N386" s="9">
        <v>68</v>
      </c>
      <c r="O386" s="34">
        <f t="shared" si="359"/>
        <v>47863.009232263823</v>
      </c>
      <c r="P386" s="33" t="str">
        <f t="shared" si="309"/>
        <v>54,631621870174</v>
      </c>
      <c r="Q386" s="4" t="str">
        <f t="shared" si="310"/>
        <v>1+1198,60564311266i</v>
      </c>
      <c r="R386" s="4">
        <f t="shared" si="322"/>
        <v>1198.6060602639689</v>
      </c>
      <c r="S386" s="4">
        <f t="shared" si="323"/>
        <v>1.5699620242253018</v>
      </c>
      <c r="T386" s="4" t="str">
        <f t="shared" si="311"/>
        <v>1+15,036607818278i</v>
      </c>
      <c r="U386" s="4">
        <f t="shared" si="324"/>
        <v>15.06982331285603</v>
      </c>
      <c r="V386" s="4">
        <f t="shared" si="325"/>
        <v>1.5043897518983402</v>
      </c>
      <c r="W386" t="str">
        <f t="shared" si="312"/>
        <v>1-1,19671515115717i</v>
      </c>
      <c r="X386" s="4">
        <f t="shared" si="326"/>
        <v>1.5595278622099473</v>
      </c>
      <c r="Y386" s="4">
        <f t="shared" si="327"/>
        <v>-0.87470962350518411</v>
      </c>
      <c r="Z386" t="str">
        <f t="shared" si="313"/>
        <v>0,990836529388929+0,164418982685844i</v>
      </c>
      <c r="AA386" s="4">
        <f t="shared" si="328"/>
        <v>1.0043856977471082</v>
      </c>
      <c r="AB386" s="4">
        <f t="shared" si="329"/>
        <v>0.16444114385097588</v>
      </c>
      <c r="AC386" s="47" t="str">
        <f t="shared" si="330"/>
        <v>0,479274089307839-0,95276340791536i</v>
      </c>
      <c r="AD386" s="20">
        <f t="shared" si="331"/>
        <v>0.55936806735553168</v>
      </c>
      <c r="AE386" s="43">
        <f t="shared" si="332"/>
        <v>-63.295967704706186</v>
      </c>
      <c r="AF386" t="str">
        <f t="shared" si="314"/>
        <v>171,265703090588</v>
      </c>
      <c r="AG386" t="str">
        <f t="shared" si="315"/>
        <v>1+1187,13496620867i</v>
      </c>
      <c r="AH386">
        <f t="shared" si="333"/>
        <v>1187.1353873906971</v>
      </c>
      <c r="AI386">
        <f t="shared" si="334"/>
        <v>1.5699539627908543</v>
      </c>
      <c r="AJ386" t="str">
        <f t="shared" si="316"/>
        <v>1+15,036607818278i</v>
      </c>
      <c r="AK386">
        <f t="shared" si="335"/>
        <v>15.06982331285603</v>
      </c>
      <c r="AL386">
        <f t="shared" si="336"/>
        <v>1.5043897518983402</v>
      </c>
      <c r="AM386" t="str">
        <f t="shared" si="317"/>
        <v>1-0,378083657093161i</v>
      </c>
      <c r="AN386">
        <f t="shared" si="337"/>
        <v>1.0690871113996927</v>
      </c>
      <c r="AO386">
        <f t="shared" si="338"/>
        <v>-0.36147140586934906</v>
      </c>
      <c r="AP386" s="41" t="str">
        <f t="shared" si="339"/>
        <v>2,11556830704115-0,96266395573722i</v>
      </c>
      <c r="AQ386">
        <f t="shared" si="340"/>
        <v>7.32582809959092</v>
      </c>
      <c r="AR386" s="43">
        <f t="shared" si="341"/>
        <v>-24.467338542220805</v>
      </c>
      <c r="AS386" t="str">
        <f t="shared" si="318"/>
        <v>-0,0000166666666666667</v>
      </c>
      <c r="AT386" t="str">
        <f t="shared" si="319"/>
        <v>0,000996626366195469i</v>
      </c>
      <c r="AU386">
        <f t="shared" si="342"/>
        <v>9.9662636619546894E-4</v>
      </c>
      <c r="AV386">
        <f t="shared" si="343"/>
        <v>1.5707963267948966</v>
      </c>
      <c r="AW386" t="str">
        <f t="shared" si="320"/>
        <v>1+0,335397118264065i</v>
      </c>
      <c r="AX386">
        <f t="shared" si="344"/>
        <v>1.0547469966488832</v>
      </c>
      <c r="AY386">
        <f t="shared" si="345"/>
        <v>0.32360680942760761</v>
      </c>
      <c r="AZ386" t="str">
        <f t="shared" si="321"/>
        <v>1+79,3932892805081i</v>
      </c>
      <c r="BA386">
        <f t="shared" si="346"/>
        <v>79.399586792239944</v>
      </c>
      <c r="BB386">
        <f t="shared" si="347"/>
        <v>1.5582014698278235</v>
      </c>
      <c r="BC386" s="41" t="str">
        <f t="shared" si="348"/>
        <v>-1,18840648589039+0,415311194922898i</v>
      </c>
      <c r="BD386">
        <f t="shared" si="349"/>
        <v>1.9997264410615532</v>
      </c>
      <c r="BE386" s="43">
        <f t="shared" si="350"/>
        <v>160.73706345031954</v>
      </c>
      <c r="BF386" s="41" t="str">
        <f t="shared" si="351"/>
        <v>-0,173879126832505+1,33131810821167i</v>
      </c>
      <c r="BG386" s="20">
        <f t="shared" si="352"/>
        <v>2.5590945084171008</v>
      </c>
      <c r="BH386" s="43">
        <f t="shared" si="353"/>
        <v>97.441095745613325</v>
      </c>
      <c r="BI386" s="41" t="str">
        <f t="shared" si="357"/>
        <v>-2,11434997966543+2,02265529026928i</v>
      </c>
      <c r="BJ386" s="20">
        <f t="shared" si="354"/>
        <v>9.3255545406524742</v>
      </c>
      <c r="BK386" s="43">
        <f t="shared" si="358"/>
        <v>136.26972490809885</v>
      </c>
      <c r="BL386">
        <f t="shared" si="355"/>
        <v>2.5590945084171008</v>
      </c>
      <c r="BM386" s="43">
        <f t="shared" si="356"/>
        <v>97.441095745613325</v>
      </c>
    </row>
    <row r="387" spans="14:65" x14ac:dyDescent="0.25">
      <c r="N387" s="9">
        <v>69</v>
      </c>
      <c r="O387" s="34">
        <f t="shared" si="359"/>
        <v>48977.881936844598</v>
      </c>
      <c r="P387" s="33" t="str">
        <f t="shared" si="309"/>
        <v>54,631621870174</v>
      </c>
      <c r="Q387" s="4" t="str">
        <f t="shared" si="310"/>
        <v>1+1226,52475510535i</v>
      </c>
      <c r="R387" s="4">
        <f t="shared" si="322"/>
        <v>1226.5251627611392</v>
      </c>
      <c r="S387" s="4">
        <f t="shared" si="323"/>
        <v>1.5699810152618354</v>
      </c>
      <c r="T387" s="4" t="str">
        <f t="shared" si="311"/>
        <v>1+15,3868554081179i</v>
      </c>
      <c r="U387" s="4">
        <f t="shared" si="324"/>
        <v>15.41931643589712</v>
      </c>
      <c r="V387" s="4">
        <f t="shared" si="325"/>
        <v>1.5058970600169521</v>
      </c>
      <c r="W387" t="str">
        <f t="shared" si="312"/>
        <v>1-1,22459022793533i</v>
      </c>
      <c r="X387" s="4">
        <f t="shared" si="326"/>
        <v>1.5810190468032645</v>
      </c>
      <c r="Y387" s="4">
        <f t="shared" si="327"/>
        <v>-0.88601526172354883</v>
      </c>
      <c r="Z387" t="str">
        <f t="shared" si="313"/>
        <v>0,990404668323922+0,168248792780355i</v>
      </c>
      <c r="AA387" s="4">
        <f t="shared" si="328"/>
        <v>1.0045939793318817</v>
      </c>
      <c r="AB387" s="4">
        <f t="shared" si="329"/>
        <v>0.16827239462136193</v>
      </c>
      <c r="AC387" s="47" t="str">
        <f t="shared" si="330"/>
        <v>0,472506038549432-0,972136469708496i</v>
      </c>
      <c r="AD387" s="20">
        <f t="shared" si="331"/>
        <v>0.67558566911713336</v>
      </c>
      <c r="AE387" s="43">
        <f t="shared" si="332"/>
        <v>-64.077973271339431</v>
      </c>
      <c r="AF387" t="str">
        <f t="shared" si="314"/>
        <v>171,265703090588</v>
      </c>
      <c r="AG387" t="str">
        <f t="shared" si="315"/>
        <v>1+1214,78689181278i</v>
      </c>
      <c r="AH387">
        <f t="shared" si="333"/>
        <v>1214.7873034075367</v>
      </c>
      <c r="AI387">
        <f t="shared" si="334"/>
        <v>1.5699731373277899</v>
      </c>
      <c r="AJ387" t="str">
        <f t="shared" si="316"/>
        <v>1+15,3868554081179i</v>
      </c>
      <c r="AK387">
        <f t="shared" si="335"/>
        <v>15.41931643589712</v>
      </c>
      <c r="AL387">
        <f t="shared" si="336"/>
        <v>1.5058970600169521</v>
      </c>
      <c r="AM387" t="str">
        <f t="shared" si="317"/>
        <v>1-0,38689035679931i</v>
      </c>
      <c r="AN387">
        <f t="shared" si="337"/>
        <v>1.0722332526947191</v>
      </c>
      <c r="AO387">
        <f t="shared" si="338"/>
        <v>-0.36915412744795328</v>
      </c>
      <c r="AP387" s="41" t="str">
        <f t="shared" si="339"/>
        <v>2,11556290502449-0,978524980787992i</v>
      </c>
      <c r="AQ387">
        <f t="shared" si="340"/>
        <v>7.3504910090812938</v>
      </c>
      <c r="AR387" s="43">
        <f t="shared" si="341"/>
        <v>-24.822262290267147</v>
      </c>
      <c r="AS387" t="str">
        <f t="shared" si="318"/>
        <v>-0,0000166666666666667</v>
      </c>
      <c r="AT387" t="str">
        <f t="shared" si="319"/>
        <v>0,00101984077645006i</v>
      </c>
      <c r="AU387">
        <f t="shared" si="342"/>
        <v>1.01984077645006E-3</v>
      </c>
      <c r="AV387">
        <f t="shared" si="343"/>
        <v>1.5707963267948966</v>
      </c>
      <c r="AW387" t="str">
        <f t="shared" si="320"/>
        <v>1+0,343209520750777i</v>
      </c>
      <c r="AX387">
        <f t="shared" si="344"/>
        <v>1.0572571944110751</v>
      </c>
      <c r="AY387">
        <f t="shared" si="345"/>
        <v>0.33061263331324836</v>
      </c>
      <c r="AZ387" t="str">
        <f t="shared" si="321"/>
        <v>1+81,2425965548625i</v>
      </c>
      <c r="BA387">
        <f t="shared" si="346"/>
        <v>81.248750728710618</v>
      </c>
      <c r="BB387">
        <f t="shared" si="347"/>
        <v>1.5584881344833004</v>
      </c>
      <c r="BC387" s="41" t="str">
        <f t="shared" si="348"/>
        <v>-1,18277002589589+0,422280354103809i</v>
      </c>
      <c r="BD387">
        <f t="shared" si="349"/>
        <v>1.9790484021026611</v>
      </c>
      <c r="BE387" s="43">
        <f t="shared" si="350"/>
        <v>160.35208398455475</v>
      </c>
      <c r="BF387" s="41" t="str">
        <f t="shared" si="351"/>
        <v>-0,148351846785346+1,3493438947263i</v>
      </c>
      <c r="BG387" s="20">
        <f t="shared" si="352"/>
        <v>2.6546340712197973</v>
      </c>
      <c r="BH387" s="43">
        <f t="shared" si="353"/>
        <v>96.27411071321535</v>
      </c>
      <c r="BI387" s="41" t="str">
        <f t="shared" si="357"/>
        <v>-2,08901251657362+2,05073066952901i</v>
      </c>
      <c r="BJ387" s="20">
        <f t="shared" si="354"/>
        <v>9.3295394111839371</v>
      </c>
      <c r="BK387" s="43">
        <f t="shared" si="358"/>
        <v>135.52982169428759</v>
      </c>
      <c r="BL387">
        <f t="shared" si="355"/>
        <v>2.6546340712197973</v>
      </c>
      <c r="BM387" s="43">
        <f t="shared" si="356"/>
        <v>96.27411071321535</v>
      </c>
    </row>
    <row r="388" spans="14:65" x14ac:dyDescent="0.25">
      <c r="N388" s="9">
        <v>70</v>
      </c>
      <c r="O388" s="34">
        <f t="shared" si="359"/>
        <v>50118.723362727294</v>
      </c>
      <c r="P388" s="33" t="str">
        <f t="shared" si="309"/>
        <v>54,631621870174</v>
      </c>
      <c r="Q388" s="4" t="str">
        <f t="shared" si="310"/>
        <v>1+1255,09418675817i</v>
      </c>
      <c r="R388" s="4">
        <f t="shared" si="322"/>
        <v>1255.0945851345837</v>
      </c>
      <c r="S388" s="4">
        <f t="shared" si="323"/>
        <v>1.5699995740101691</v>
      </c>
      <c r="T388" s="4" t="str">
        <f t="shared" si="311"/>
        <v>1+15,7452613123643i</v>
      </c>
      <c r="U388" s="4">
        <f t="shared" si="324"/>
        <v>15.776984939925498</v>
      </c>
      <c r="V388" s="4">
        <f t="shared" si="325"/>
        <v>1.5073703430265655</v>
      </c>
      <c r="W388" t="str">
        <f t="shared" si="312"/>
        <v>1-1,25311459866172i</v>
      </c>
      <c r="X388" s="4">
        <f t="shared" si="326"/>
        <v>1.6032143329508763</v>
      </c>
      <c r="Y388" s="4">
        <f t="shared" si="327"/>
        <v>-0.89726899325529841</v>
      </c>
      <c r="Z388" t="str">
        <f t="shared" si="313"/>
        <v>0,989952454273962+0,172167810611834i</v>
      </c>
      <c r="AA388" s="4">
        <f t="shared" si="328"/>
        <v>1.0048122295901425</v>
      </c>
      <c r="AB388" s="4">
        <f t="shared" si="329"/>
        <v>0.17219293865429611</v>
      </c>
      <c r="AC388" s="47" t="str">
        <f t="shared" si="330"/>
        <v>0,465425002133677-0,991955084506145i</v>
      </c>
      <c r="AD388" s="20">
        <f t="shared" si="331"/>
        <v>0.79396646942434213</v>
      </c>
      <c r="AE388" s="43">
        <f t="shared" si="332"/>
        <v>-64.864045657837778</v>
      </c>
      <c r="AF388" t="str">
        <f t="shared" si="314"/>
        <v>171,265703090588</v>
      </c>
      <c r="AG388" t="str">
        <f t="shared" si="315"/>
        <v>1+1243,08291350654i</v>
      </c>
      <c r="AH388">
        <f t="shared" si="333"/>
        <v>1243.0833157322595</v>
      </c>
      <c r="AI388">
        <f t="shared" si="334"/>
        <v>1.5699918753995628</v>
      </c>
      <c r="AJ388" t="str">
        <f t="shared" si="316"/>
        <v>1+15,7452613123643i</v>
      </c>
      <c r="AK388">
        <f t="shared" si="335"/>
        <v>15.776984939925498</v>
      </c>
      <c r="AL388">
        <f t="shared" si="336"/>
        <v>1.5073703430265655</v>
      </c>
      <c r="AM388" t="str">
        <f t="shared" si="317"/>
        <v>1-0,395902190893736i</v>
      </c>
      <c r="AN388">
        <f t="shared" si="337"/>
        <v>1.0755178030857788</v>
      </c>
      <c r="AO388">
        <f t="shared" si="338"/>
        <v>-0.37696879906053926</v>
      </c>
      <c r="AP388" s="41" t="str">
        <f t="shared" si="339"/>
        <v>2,1155577461383-0,994904832335502i</v>
      </c>
      <c r="AQ388">
        <f t="shared" si="340"/>
        <v>7.3762355780937972</v>
      </c>
      <c r="AR388" s="43">
        <f t="shared" si="341"/>
        <v>-25.186670705898717</v>
      </c>
      <c r="AS388" t="str">
        <f t="shared" si="318"/>
        <v>-0,0000166666666666667</v>
      </c>
      <c r="AT388" t="str">
        <f t="shared" si="319"/>
        <v>0,00104359591978351i</v>
      </c>
      <c r="AU388">
        <f t="shared" si="342"/>
        <v>1.04359591978351E-3</v>
      </c>
      <c r="AV388">
        <f t="shared" si="343"/>
        <v>1.5707963267948966</v>
      </c>
      <c r="AW388" t="str">
        <f t="shared" si="320"/>
        <v>1+0,351203897468307i</v>
      </c>
      <c r="AX388">
        <f t="shared" si="344"/>
        <v>1.0598793221857521</v>
      </c>
      <c r="AY388">
        <f t="shared" si="345"/>
        <v>0.33774693097487418</v>
      </c>
      <c r="AZ388" t="str">
        <f t="shared" si="321"/>
        <v>1+83,1349797292835i</v>
      </c>
      <c r="BA388">
        <f t="shared" si="346"/>
        <v>83.14099382728341</v>
      </c>
      <c r="BB388">
        <f t="shared" si="347"/>
        <v>1.5587682758093682</v>
      </c>
      <c r="BC388" s="41" t="str">
        <f t="shared" si="348"/>
        <v>-1,17692494959086+0,429311050778049i</v>
      </c>
      <c r="BD388">
        <f t="shared" si="349"/>
        <v>1.957503387881244</v>
      </c>
      <c r="BE388" s="43">
        <f t="shared" si="350"/>
        <v>159.95936975440435</v>
      </c>
      <c r="BF388" s="41" t="str">
        <f t="shared" si="351"/>
        <v>-0,121913017520542+1,36726878455318i</v>
      </c>
      <c r="BG388" s="20">
        <f t="shared" si="352"/>
        <v>2.7514698573056067</v>
      </c>
      <c r="BH388" s="43">
        <f t="shared" si="353"/>
        <v>95.095324096566571</v>
      </c>
      <c r="BI388" s="41" t="str">
        <f t="shared" si="357"/>
        <v>-2,06272905473626+2,07916063862044i</v>
      </c>
      <c r="BJ388" s="20">
        <f t="shared" si="354"/>
        <v>9.3337389659750443</v>
      </c>
      <c r="BK388" s="43">
        <f t="shared" si="358"/>
        <v>134.77269904850564</v>
      </c>
      <c r="BL388">
        <f t="shared" si="355"/>
        <v>2.7514698573056067</v>
      </c>
      <c r="BM388" s="43">
        <f t="shared" si="356"/>
        <v>95.095324096566571</v>
      </c>
    </row>
    <row r="389" spans="14:65" x14ac:dyDescent="0.25">
      <c r="N389" s="9">
        <v>71</v>
      </c>
      <c r="O389" s="34">
        <f t="shared" si="359"/>
        <v>51286.138399136544</v>
      </c>
      <c r="P389" s="33" t="str">
        <f t="shared" si="309"/>
        <v>54,631621870174</v>
      </c>
      <c r="Q389" s="4" t="str">
        <f t="shared" si="310"/>
        <v>1+1284,32908596195i</v>
      </c>
      <c r="R389" s="4">
        <f t="shared" si="322"/>
        <v>1284.329475270212</v>
      </c>
      <c r="S389" s="4">
        <f t="shared" si="323"/>
        <v>1.5700177103103452</v>
      </c>
      <c r="T389" s="4" t="str">
        <f t="shared" si="311"/>
        <v>1+16,1120155625717i</v>
      </c>
      <c r="U389" s="4">
        <f t="shared" si="324"/>
        <v>16.143018475135083</v>
      </c>
      <c r="V389" s="4">
        <f t="shared" si="325"/>
        <v>1.5088103564840869</v>
      </c>
      <c r="W389" t="str">
        <f t="shared" si="312"/>
        <v>1-1,28230338733525i</v>
      </c>
      <c r="X389" s="4">
        <f t="shared" si="326"/>
        <v>1.6261309840143434</v>
      </c>
      <c r="Y389" s="4">
        <f t="shared" si="327"/>
        <v>-0.90846538368565288</v>
      </c>
      <c r="Z389" t="str">
        <f t="shared" si="313"/>
        <v>0,989478928032418+0,17617811409541i</v>
      </c>
      <c r="AA389" s="4">
        <f t="shared" si="328"/>
        <v>1.0050409329506924</v>
      </c>
      <c r="AB389" s="4">
        <f t="shared" si="329"/>
        <v>0.17620485786142626</v>
      </c>
      <c r="AC389" s="47" t="str">
        <f t="shared" si="330"/>
        <v>0,458016785545252-1,0122248063783i</v>
      </c>
      <c r="AD389" s="20">
        <f t="shared" si="331"/>
        <v>0.9144832567310045</v>
      </c>
      <c r="AE389" s="43">
        <f t="shared" si="332"/>
        <v>-65.653950053491641</v>
      </c>
      <c r="AF389" t="str">
        <f t="shared" si="314"/>
        <v>171,265703090588</v>
      </c>
      <c r="AG389" t="str">
        <f t="shared" si="315"/>
        <v>1+1272,03803421519i</v>
      </c>
      <c r="AH389">
        <f t="shared" si="333"/>
        <v>1272.038427285137</v>
      </c>
      <c r="AI389">
        <f t="shared" si="334"/>
        <v>1.5700101869412941</v>
      </c>
      <c r="AJ389" t="str">
        <f t="shared" si="316"/>
        <v>1+16,1120155625717i</v>
      </c>
      <c r="AK389">
        <f t="shared" si="335"/>
        <v>16.143018475135083</v>
      </c>
      <c r="AL389">
        <f t="shared" si="336"/>
        <v>1.5088103564840869</v>
      </c>
      <c r="AM389" t="str">
        <f t="shared" si="317"/>
        <v>1-0,405123937570158i</v>
      </c>
      <c r="AN389">
        <f t="shared" si="337"/>
        <v>1.0789464327724287</v>
      </c>
      <c r="AO389">
        <f t="shared" si="338"/>
        <v>-0.38491574524328925</v>
      </c>
      <c r="AP389" s="41" t="str">
        <f t="shared" si="339"/>
        <v>2,11555281943994-1,01181219522056i</v>
      </c>
      <c r="AQ389">
        <f t="shared" si="340"/>
        <v>7.4030959574133712</v>
      </c>
      <c r="AR389" s="43">
        <f t="shared" si="341"/>
        <v>-25.560539662687336</v>
      </c>
      <c r="AS389" t="str">
        <f t="shared" si="318"/>
        <v>-0,0000166666666666667</v>
      </c>
      <c r="AT389" t="str">
        <f t="shared" si="319"/>
        <v>0,00106790439148725i</v>
      </c>
      <c r="AU389">
        <f t="shared" si="342"/>
        <v>1.0679043914872499E-3</v>
      </c>
      <c r="AV389">
        <f t="shared" si="343"/>
        <v>1.5707963267948966</v>
      </c>
      <c r="AW389" t="str">
        <f t="shared" si="320"/>
        <v>1+0,359384487141008i</v>
      </c>
      <c r="AX389">
        <f t="shared" si="344"/>
        <v>1.0626180920714672</v>
      </c>
      <c r="AY389">
        <f t="shared" si="345"/>
        <v>0.3450105791989394</v>
      </c>
      <c r="AZ389" t="str">
        <f t="shared" si="321"/>
        <v>1+85,0714421703785i</v>
      </c>
      <c r="BA389">
        <f t="shared" si="346"/>
        <v>85.077319380361615</v>
      </c>
      <c r="BB389">
        <f t="shared" si="347"/>
        <v>1.5590420421646829</v>
      </c>
      <c r="BC389" s="41" t="str">
        <f t="shared" si="348"/>
        <v>-1,1708660037362+0,436397968542821i</v>
      </c>
      <c r="BD389">
        <f t="shared" si="349"/>
        <v>1.9350593788940409</v>
      </c>
      <c r="BE389" s="43">
        <f t="shared" si="350"/>
        <v>159.55887902403006</v>
      </c>
      <c r="BF389" s="41" t="str">
        <f t="shared" si="351"/>
        <v>-0,0945434341233289+1,38505720869727i</v>
      </c>
      <c r="BG389" s="20">
        <f t="shared" si="352"/>
        <v>2.8495426356250482</v>
      </c>
      <c r="BH389" s="43">
        <f t="shared" si="353"/>
        <v>93.904928970538393</v>
      </c>
      <c r="BI389" s="41" t="str">
        <f t="shared" si="357"/>
        <v>-2,03547608884939+2,10791945429808i</v>
      </c>
      <c r="BJ389" s="20">
        <f t="shared" si="354"/>
        <v>9.3381553363074215</v>
      </c>
      <c r="BK389" s="43">
        <f t="shared" si="358"/>
        <v>133.99833936134266</v>
      </c>
      <c r="BL389">
        <f t="shared" si="355"/>
        <v>2.8495426356250482</v>
      </c>
      <c r="BM389" s="43">
        <f t="shared" si="356"/>
        <v>93.904928970538393</v>
      </c>
    </row>
    <row r="390" spans="14:65" x14ac:dyDescent="0.25">
      <c r="N390" s="9">
        <v>72</v>
      </c>
      <c r="O390" s="34">
        <f t="shared" si="359"/>
        <v>52480.746024977314</v>
      </c>
      <c r="P390" s="33" t="str">
        <f t="shared" si="309"/>
        <v>54,631621870174</v>
      </c>
      <c r="Q390" s="4" t="str">
        <f t="shared" si="310"/>
        <v>1+1314,24495344721i</v>
      </c>
      <c r="R390" s="4">
        <f t="shared" si="322"/>
        <v>1314.2453338937366</v>
      </c>
      <c r="S390" s="4">
        <f t="shared" si="323"/>
        <v>1.5700354337784228</v>
      </c>
      <c r="T390" s="4" t="str">
        <f t="shared" si="311"/>
        <v>1+16,4873126166981i</v>
      </c>
      <c r="U390" s="4">
        <f t="shared" si="324"/>
        <v>16.517611126332174</v>
      </c>
      <c r="V390" s="4">
        <f t="shared" si="325"/>
        <v>1.5102178400016948</v>
      </c>
      <c r="W390" t="str">
        <f t="shared" si="312"/>
        <v>1-1,31217207023803i</v>
      </c>
      <c r="X390" s="4">
        <f t="shared" si="326"/>
        <v>1.6497865140413648</v>
      </c>
      <c r="Y390" s="4">
        <f t="shared" si="327"/>
        <v>-0.91959914151699718</v>
      </c>
      <c r="Z390" t="str">
        <f t="shared" si="313"/>
        <v>0,988983085186647+0,180281829547072i</v>
      </c>
      <c r="AA390" s="4">
        <f t="shared" si="328"/>
        <v>1.005280598067096</v>
      </c>
      <c r="AB390" s="4">
        <f t="shared" si="329"/>
        <v>0.18031028258525411</v>
      </c>
      <c r="AC390" s="47" t="str">
        <f t="shared" si="330"/>
        <v>0,450266580053341-1,03295107978304i</v>
      </c>
      <c r="AD390" s="20">
        <f t="shared" si="331"/>
        <v>1.0371067154750897</v>
      </c>
      <c r="AE390" s="43">
        <f t="shared" si="332"/>
        <v>-66.447463511758357</v>
      </c>
      <c r="AF390" t="str">
        <f t="shared" si="314"/>
        <v>171,265703090588</v>
      </c>
      <c r="AG390" t="str">
        <f t="shared" si="315"/>
        <v>1+1301,66760632698i</v>
      </c>
      <c r="AH390">
        <f t="shared" si="333"/>
        <v>1301.6679904495652</v>
      </c>
      <c r="AI390">
        <f t="shared" si="334"/>
        <v>1.5700280816619565</v>
      </c>
      <c r="AJ390" t="str">
        <f t="shared" si="316"/>
        <v>1+16,4873126166981i</v>
      </c>
      <c r="AK390">
        <f t="shared" si="335"/>
        <v>16.517611126332174</v>
      </c>
      <c r="AL390">
        <f t="shared" si="336"/>
        <v>1.5102178400016948</v>
      </c>
      <c r="AM390" t="str">
        <f t="shared" si="317"/>
        <v>1-0,414560486320728i</v>
      </c>
      <c r="AN390">
        <f t="shared" si="337"/>
        <v>1.0825250097889094</v>
      </c>
      <c r="AO390">
        <f t="shared" si="338"/>
        <v>-0.39299516348560276</v>
      </c>
      <c r="AP390" s="41" t="str">
        <f t="shared" si="339"/>
        <v>2,11554811447928-1,02925603397573i</v>
      </c>
      <c r="AQ390">
        <f t="shared" si="340"/>
        <v>7.4311070533435295</v>
      </c>
      <c r="AR390" s="43">
        <f t="shared" si="341"/>
        <v>-25.943838655569365</v>
      </c>
      <c r="AS390" t="str">
        <f t="shared" si="318"/>
        <v>-0,0000166666666666667</v>
      </c>
      <c r="AT390" t="str">
        <f t="shared" si="319"/>
        <v>0,00109277908023475i</v>
      </c>
      <c r="AU390">
        <f t="shared" si="342"/>
        <v>1.0927790802347499E-3</v>
      </c>
      <c r="AV390">
        <f t="shared" si="343"/>
        <v>1.5707963267948966</v>
      </c>
      <c r="AW390" t="str">
        <f t="shared" si="320"/>
        <v>1+0,367755627225806i</v>
      </c>
      <c r="AX390">
        <f t="shared" si="344"/>
        <v>1.0654783908443408</v>
      </c>
      <c r="AY390">
        <f t="shared" si="345"/>
        <v>0.35240436244116191</v>
      </c>
      <c r="AZ390" t="str">
        <f t="shared" si="321"/>
        <v>1+87,0530106161657i</v>
      </c>
      <c r="BA390">
        <f t="shared" si="346"/>
        <v>87.05875405344517</v>
      </c>
      <c r="BB390">
        <f t="shared" si="347"/>
        <v>1.5593095785395494</v>
      </c>
      <c r="BC390" s="41" t="str">
        <f t="shared" si="348"/>
        <v>-1,16458801376126+0,443535429544681i</v>
      </c>
      <c r="BD390">
        <f t="shared" si="349"/>
        <v>1.9116835694605474</v>
      </c>
      <c r="BE390" s="43">
        <f t="shared" si="350"/>
        <v>159.15057515476215</v>
      </c>
      <c r="BF390" s="41" t="str">
        <f t="shared" si="351"/>
        <v>-0,0662246612571832+1,40267162731065i</v>
      </c>
      <c r="BG390" s="20">
        <f t="shared" si="352"/>
        <v>2.9487902849356251</v>
      </c>
      <c r="BH390" s="43">
        <f t="shared" si="353"/>
        <v>92.703111643003822</v>
      </c>
      <c r="BI390" s="41" t="str">
        <f t="shared" si="357"/>
        <v>-2,00723045951692+2,13697978193759i</v>
      </c>
      <c r="BJ390" s="20">
        <f t="shared" si="354"/>
        <v>9.3427906228040598</v>
      </c>
      <c r="BK390" s="43">
        <f t="shared" si="358"/>
        <v>133.20673649919283</v>
      </c>
      <c r="BL390">
        <f t="shared" si="355"/>
        <v>2.9487902849356251</v>
      </c>
      <c r="BM390" s="43">
        <f t="shared" si="356"/>
        <v>92.703111643003822</v>
      </c>
    </row>
    <row r="391" spans="14:65" x14ac:dyDescent="0.25">
      <c r="N391" s="9">
        <v>73</v>
      </c>
      <c r="O391" s="34">
        <f t="shared" si="359"/>
        <v>53703.179637025423</v>
      </c>
      <c r="P391" s="33" t="str">
        <f t="shared" si="309"/>
        <v>54,631621870174</v>
      </c>
      <c r="Q391" s="4" t="str">
        <f t="shared" si="310"/>
        <v>1+1344,85765100288i</v>
      </c>
      <c r="R391" s="4">
        <f t="shared" si="322"/>
        <v>1344.8580227893885</v>
      </c>
      <c r="S391" s="4">
        <f t="shared" si="323"/>
        <v>1.5700527538115745</v>
      </c>
      <c r="T391" s="4" t="str">
        <f t="shared" si="311"/>
        <v>1+16,8713514622092i</v>
      </c>
      <c r="U391" s="4">
        <f t="shared" si="324"/>
        <v>16.9009615158839</v>
      </c>
      <c r="V391" s="4">
        <f t="shared" si="325"/>
        <v>1.5115935175272766</v>
      </c>
      <c r="W391" t="str">
        <f t="shared" si="312"/>
        <v>1-1,34273648414111i</v>
      </c>
      <c r="X391" s="4">
        <f t="shared" si="326"/>
        <v>1.6741986936572462</v>
      </c>
      <c r="Y391" s="4">
        <f t="shared" si="327"/>
        <v>-0.93066512934162049</v>
      </c>
      <c r="Z391" t="str">
        <f t="shared" si="313"/>
        <v>0,988463873987493+0,184481132811072i</v>
      </c>
      <c r="AA391" s="4">
        <f t="shared" si="328"/>
        <v>1.0055317590914863</v>
      </c>
      <c r="AB391" s="4">
        <f t="shared" si="329"/>
        <v>0.18451139269797118</v>
      </c>
      <c r="AC391" s="47" t="str">
        <f t="shared" si="330"/>
        <v>0,442158939014836-1,05413921820112i</v>
      </c>
      <c r="AD391" s="20">
        <f t="shared" si="331"/>
        <v>1.1618055032707788</v>
      </c>
      <c r="AE391" s="43">
        <f t="shared" si="332"/>
        <v>-67.244375637594729</v>
      </c>
      <c r="AF391" t="str">
        <f t="shared" si="314"/>
        <v>171,265703090588</v>
      </c>
      <c r="AG391" t="str">
        <f t="shared" si="315"/>
        <v>1+1331,98733983327i</v>
      </c>
      <c r="AH391">
        <f t="shared" si="333"/>
        <v>1331.9877152121605</v>
      </c>
      <c r="AI391">
        <f t="shared" si="334"/>
        <v>1.5700455690495219</v>
      </c>
      <c r="AJ391" t="str">
        <f t="shared" si="316"/>
        <v>1+16,8713514622092i</v>
      </c>
      <c r="AK391">
        <f t="shared" si="335"/>
        <v>16.9009615158839</v>
      </c>
      <c r="AL391">
        <f t="shared" si="336"/>
        <v>1.5115935175272766</v>
      </c>
      <c r="AM391" t="str">
        <f t="shared" si="317"/>
        <v>1-0,424216840528503i</v>
      </c>
      <c r="AN391">
        <f t="shared" si="337"/>
        <v>1.0862596042327937</v>
      </c>
      <c r="AO391">
        <f t="shared" si="338"/>
        <v>-0.40120711735447839</v>
      </c>
      <c r="AP391" s="41" t="str">
        <f t="shared" si="339"/>
        <v>2,11554362127646-1,04724559757847i</v>
      </c>
      <c r="AQ391">
        <f t="shared" si="340"/>
        <v>7.4603044910540959</v>
      </c>
      <c r="AR391" s="43">
        <f t="shared" si="341"/>
        <v>-26.336530391127599</v>
      </c>
      <c r="AS391" t="str">
        <f t="shared" si="318"/>
        <v>-0,0000166666666666667</v>
      </c>
      <c r="AT391" t="str">
        <f t="shared" si="319"/>
        <v>0,00111823317491523i</v>
      </c>
      <c r="AU391">
        <f t="shared" si="342"/>
        <v>1.11823317491523E-3</v>
      </c>
      <c r="AV391">
        <f t="shared" si="343"/>
        <v>1.5707963267948966</v>
      </c>
      <c r="AW391" t="str">
        <f t="shared" si="320"/>
        <v>1+0,376321756211981i</v>
      </c>
      <c r="AX391">
        <f t="shared" si="344"/>
        <v>1.0684652845078635</v>
      </c>
      <c r="AY391">
        <f t="shared" si="345"/>
        <v>0.35992896638144534</v>
      </c>
      <c r="AZ391" t="str">
        <f t="shared" si="321"/>
        <v>1+89,0807357204645i</v>
      </c>
      <c r="BA391">
        <f t="shared" si="346"/>
        <v>89.086348429482953</v>
      </c>
      <c r="BB391">
        <f t="shared" si="347"/>
        <v>1.5595710266320146</v>
      </c>
      <c r="BC391" s="41" t="str">
        <f t="shared" si="348"/>
        <v>-1,15808590548162+0,450717386302714i</v>
      </c>
      <c r="BD391">
        <f t="shared" si="349"/>
        <v>1.8873423811228485</v>
      </c>
      <c r="BE391" s="43">
        <f t="shared" si="350"/>
        <v>158.73442697873651</v>
      </c>
      <c r="BF391" s="41" t="str">
        <f t="shared" si="351"/>
        <v>-0,0369391620289936+1,42007249233728i</v>
      </c>
      <c r="BG391" s="20">
        <f t="shared" si="352"/>
        <v>3.049147884393633</v>
      </c>
      <c r="BH391" s="43">
        <f t="shared" si="353"/>
        <v>91.490051341141779</v>
      </c>
      <c r="BI391" s="41" t="str">
        <f t="shared" si="357"/>
        <v>-1,97796945167422+2,16631265772441i</v>
      </c>
      <c r="BJ391" s="20">
        <f t="shared" si="354"/>
        <v>9.3476468721769486</v>
      </c>
      <c r="BK391" s="43">
        <f t="shared" si="358"/>
        <v>132.39789658760884</v>
      </c>
      <c r="BL391">
        <f t="shared" si="355"/>
        <v>3.049147884393633</v>
      </c>
      <c r="BM391" s="43">
        <f t="shared" si="356"/>
        <v>91.490051341141779</v>
      </c>
    </row>
    <row r="392" spans="14:65" x14ac:dyDescent="0.25">
      <c r="N392" s="9">
        <v>74</v>
      </c>
      <c r="O392" s="34">
        <f t="shared" si="359"/>
        <v>54954.087385762505</v>
      </c>
      <c r="P392" s="33" t="str">
        <f t="shared" si="309"/>
        <v>54,631621870174</v>
      </c>
      <c r="Q392" s="4" t="str">
        <f t="shared" si="310"/>
        <v>1+1376,1834098864i</v>
      </c>
      <c r="R392" s="4">
        <f t="shared" si="322"/>
        <v>1376.1837732100171</v>
      </c>
      <c r="S392" s="4">
        <f t="shared" si="323"/>
        <v>1.5700696795930698</v>
      </c>
      <c r="T392" s="4" t="str">
        <f t="shared" si="311"/>
        <v>1+17,2643357215843i</v>
      </c>
      <c r="U392" s="4">
        <f t="shared" si="324"/>
        <v>17.293272909069923</v>
      </c>
      <c r="V392" s="4">
        <f t="shared" si="325"/>
        <v>1.5129380976238644</v>
      </c>
      <c r="W392" t="str">
        <f t="shared" si="312"/>
        <v>1-1,37401283470129i</v>
      </c>
      <c r="X392" s="4">
        <f t="shared" si="326"/>
        <v>1.6993855565832832</v>
      </c>
      <c r="Y392" s="4">
        <f t="shared" si="327"/>
        <v>-0.94165837412328335</v>
      </c>
      <c r="Z392" t="str">
        <f t="shared" si="313"/>
        <v>0,987920193118392+0,188778250413585i</v>
      </c>
      <c r="AA392" s="4">
        <f t="shared" si="328"/>
        <v>1.0057949770208117</v>
      </c>
      <c r="AB392" s="4">
        <f t="shared" si="329"/>
        <v>0.18881041872084628</v>
      </c>
      <c r="AC392" s="47" t="str">
        <f t="shared" si="330"/>
        <v>0,433677753570421-1,07579438105476i</v>
      </c>
      <c r="AD392" s="20">
        <f t="shared" si="331"/>
        <v>1.2885463333438838</v>
      </c>
      <c r="AE392" s="43">
        <f t="shared" si="332"/>
        <v>-68.044489224958838</v>
      </c>
      <c r="AF392" t="str">
        <f t="shared" si="314"/>
        <v>171,265703090588</v>
      </c>
      <c r="AG392" t="str">
        <f t="shared" si="315"/>
        <v>1+1363,01331065806i</v>
      </c>
      <c r="AH392">
        <f t="shared" si="333"/>
        <v>1363.0136774922858</v>
      </c>
      <c r="AI392">
        <f t="shared" si="334"/>
        <v>1.5700626583759918</v>
      </c>
      <c r="AJ392" t="str">
        <f t="shared" si="316"/>
        <v>1+17,2643357215843i</v>
      </c>
      <c r="AK392">
        <f t="shared" si="335"/>
        <v>17.293272909069923</v>
      </c>
      <c r="AL392">
        <f t="shared" si="336"/>
        <v>1.5129380976238644</v>
      </c>
      <c r="AM392" t="str">
        <f t="shared" si="317"/>
        <v>1-0,434098120120299i</v>
      </c>
      <c r="AN392">
        <f t="shared" si="337"/>
        <v>1.0901564923862894</v>
      </c>
      <c r="AO392">
        <f t="shared" si="338"/>
        <v>-0.40955152962317265</v>
      </c>
      <c r="AP392" s="41" t="str">
        <f t="shared" si="339"/>
        <v>2,11553933030088-1,06579042435525i</v>
      </c>
      <c r="AQ392">
        <f t="shared" si="340"/>
        <v>7.4907245736935852</v>
      </c>
      <c r="AR392" s="43">
        <f t="shared" si="341"/>
        <v>-26.738570378170508</v>
      </c>
      <c r="AS392" t="str">
        <f t="shared" si="318"/>
        <v>-0,0000166666666666667</v>
      </c>
      <c r="AT392" t="str">
        <f t="shared" si="319"/>
        <v>0,00114428017162661i</v>
      </c>
      <c r="AU392">
        <f t="shared" si="342"/>
        <v>1.14428017162661E-3</v>
      </c>
      <c r="AV392">
        <f t="shared" si="343"/>
        <v>1.5707963267948966</v>
      </c>
      <c r="AW392" t="str">
        <f t="shared" si="320"/>
        <v>1+0,385087415974505i</v>
      </c>
      <c r="AX392">
        <f t="shared" si="344"/>
        <v>1.0715840228101208</v>
      </c>
      <c r="AY392">
        <f t="shared" si="345"/>
        <v>0.36758497134738988</v>
      </c>
      <c r="AZ392" t="str">
        <f t="shared" si="321"/>
        <v>1+91,1556926099651i</v>
      </c>
      <c r="BA392">
        <f t="shared" si="346"/>
        <v>91.161177565904921</v>
      </c>
      <c r="BB392">
        <f t="shared" si="347"/>
        <v>1.5598265249222651</v>
      </c>
      <c r="BC392" s="41" t="str">
        <f t="shared" si="348"/>
        <v>-1,15135472817674+0,457937414618783i</v>
      </c>
      <c r="BD392">
        <f t="shared" si="349"/>
        <v>1.8620014794381923</v>
      </c>
      <c r="BE392" s="43">
        <f t="shared" si="350"/>
        <v>158.31040917996077</v>
      </c>
      <c r="BF392" s="41" t="str">
        <f t="shared" si="351"/>
        <v>-0,0066704345567406+1,43721821642109i</v>
      </c>
      <c r="BG392" s="20">
        <f t="shared" si="352"/>
        <v>3.1505478127820878</v>
      </c>
      <c r="BH392" s="43">
        <f t="shared" si="353"/>
        <v>90.265919955001934</v>
      </c>
      <c r="BI392" s="41" t="str">
        <f t="shared" si="357"/>
        <v>-1,94767089913107+2,19588745576925i</v>
      </c>
      <c r="BJ392" s="20">
        <f t="shared" si="354"/>
        <v>9.3527260531317715</v>
      </c>
      <c r="BK392" s="43">
        <f t="shared" si="358"/>
        <v>131.57183880179016</v>
      </c>
      <c r="BL392">
        <f t="shared" si="355"/>
        <v>3.1505478127820878</v>
      </c>
      <c r="BM392" s="43">
        <f t="shared" si="356"/>
        <v>90.265919955001934</v>
      </c>
    </row>
    <row r="393" spans="14:65" x14ac:dyDescent="0.25">
      <c r="N393" s="9">
        <v>75</v>
      </c>
      <c r="O393" s="34">
        <f t="shared" si="359"/>
        <v>56234.132519034953</v>
      </c>
      <c r="P393" s="33" t="str">
        <f t="shared" si="309"/>
        <v>54,631621870174</v>
      </c>
      <c r="Q393" s="4" t="str">
        <f t="shared" si="310"/>
        <v>1+1408,23883942978i</v>
      </c>
      <c r="R393" s="4">
        <f t="shared" si="322"/>
        <v>1408.2391944831436</v>
      </c>
      <c r="S393" s="4">
        <f t="shared" si="323"/>
        <v>1.5700862200971428</v>
      </c>
      <c r="T393" s="4" t="str">
        <f t="shared" si="311"/>
        <v>1+17,6664737602795i</v>
      </c>
      <c r="U393" s="4">
        <f t="shared" si="324"/>
        <v>17.694753321893021</v>
      </c>
      <c r="V393" s="4">
        <f t="shared" si="325"/>
        <v>1.5142522737477437</v>
      </c>
      <c r="W393" t="str">
        <f t="shared" si="312"/>
        <v>1-1,40601770505365i</v>
      </c>
      <c r="X393" s="4">
        <f t="shared" si="326"/>
        <v>1.7253654067832509</v>
      </c>
      <c r="Y393" s="4">
        <f t="shared" si="327"/>
        <v>-0.95257407654876147</v>
      </c>
      <c r="Z393" t="str">
        <f t="shared" si="313"/>
        <v>0,987350889359326+0,193175460743243i</v>
      </c>
      <c r="AA393" s="4">
        <f t="shared" si="328"/>
        <v>1.0060708411200556</v>
      </c>
      <c r="AB393" s="4">
        <f t="shared" si="329"/>
        <v>0.19320964296394788</v>
      </c>
      <c r="AC393" s="47" t="str">
        <f t="shared" si="330"/>
        <v>0,424806227753878-1,0979215487919i</v>
      </c>
      <c r="AD393" s="20">
        <f t="shared" si="331"/>
        <v>1.4172940614203746</v>
      </c>
      <c r="AE393" s="43">
        <f t="shared" si="332"/>
        <v>-68.847620842260056</v>
      </c>
      <c r="AF393" t="str">
        <f t="shared" si="314"/>
        <v>171,265703090588</v>
      </c>
      <c r="AG393" t="str">
        <f t="shared" si="315"/>
        <v>1+1394,76196918179i</v>
      </c>
      <c r="AH393">
        <f t="shared" si="333"/>
        <v>1394.7623276658517</v>
      </c>
      <c r="AI393">
        <f t="shared" si="334"/>
        <v>1.5700793587023132</v>
      </c>
      <c r="AJ393" t="str">
        <f t="shared" si="316"/>
        <v>1+17,6664737602795i</v>
      </c>
      <c r="AK393">
        <f t="shared" si="335"/>
        <v>17.694753321893021</v>
      </c>
      <c r="AL393">
        <f t="shared" si="336"/>
        <v>1.5142522737477437</v>
      </c>
      <c r="AM393" t="str">
        <f t="shared" si="317"/>
        <v>1-0,44420956428135i</v>
      </c>
      <c r="AN393">
        <f t="shared" si="337"/>
        <v>1.0942221607146452</v>
      </c>
      <c r="AO393">
        <f t="shared" si="338"/>
        <v>-0.41802817543918341</v>
      </c>
      <c r="AP393" s="41" t="str">
        <f t="shared" si="339"/>
        <v>2,11553523245079-1,08490034703896i</v>
      </c>
      <c r="AQ393">
        <f t="shared" si="340"/>
        <v>7.5224042371035988</v>
      </c>
      <c r="AR393" s="43">
        <f t="shared" si="341"/>
        <v>-27.149906520634644</v>
      </c>
      <c r="AS393" t="str">
        <f t="shared" si="318"/>
        <v>-0,0000166666666666667</v>
      </c>
      <c r="AT393" t="str">
        <f t="shared" si="319"/>
        <v>0,00117093388083133i</v>
      </c>
      <c r="AU393">
        <f t="shared" si="342"/>
        <v>1.1709338808313301E-3</v>
      </c>
      <c r="AV393">
        <f t="shared" si="343"/>
        <v>1.5707963267948966</v>
      </c>
      <c r="AW393" t="str">
        <f t="shared" si="320"/>
        <v>1+0,394057254182215i</v>
      </c>
      <c r="AX393">
        <f t="shared" si="344"/>
        <v>1.0748400437151693</v>
      </c>
      <c r="AY393">
        <f t="shared" si="345"/>
        <v>0.37537284562663059</v>
      </c>
      <c r="AZ393" t="str">
        <f t="shared" si="321"/>
        <v>1+93,2789814542757i</v>
      </c>
      <c r="BA393">
        <f t="shared" si="346"/>
        <v>93.284341564632953</v>
      </c>
      <c r="BB393">
        <f t="shared" si="347"/>
        <v>1.5600762087453692</v>
      </c>
      <c r="BC393" s="41" t="str">
        <f t="shared" si="348"/>
        <v>-1,14438967900678+0,465188707727189i</v>
      </c>
      <c r="BD393">
        <f t="shared" si="349"/>
        <v>1.8356257943705474</v>
      </c>
      <c r="BE393" s="43">
        <f t="shared" si="350"/>
        <v>157.87850268165835</v>
      </c>
      <c r="BF393" s="41" t="str">
        <f t="shared" si="351"/>
        <v>0,0245968438489964+1,45406514891988i</v>
      </c>
      <c r="BG393" s="20">
        <f t="shared" si="352"/>
        <v>3.2529198557909353</v>
      </c>
      <c r="BH393" s="43">
        <f t="shared" si="353"/>
        <v>89.03088183939829</v>
      </c>
      <c r="BI393" s="41" t="str">
        <f t="shared" si="357"/>
        <v>-1,91631329514006+2,22567186083738i</v>
      </c>
      <c r="BJ393" s="20">
        <f t="shared" si="354"/>
        <v>9.3580300314741436</v>
      </c>
      <c r="BK393" s="43">
        <f t="shared" si="358"/>
        <v>130.72859616102372</v>
      </c>
      <c r="BL393">
        <f t="shared" si="355"/>
        <v>3.2529198557909353</v>
      </c>
      <c r="BM393" s="43">
        <f t="shared" si="356"/>
        <v>89.03088183939829</v>
      </c>
    </row>
    <row r="394" spans="14:65" x14ac:dyDescent="0.25">
      <c r="N394" s="9">
        <v>76</v>
      </c>
      <c r="O394" s="34">
        <f t="shared" si="359"/>
        <v>57543.993733715732</v>
      </c>
      <c r="P394" s="33" t="str">
        <f t="shared" si="309"/>
        <v>54,631621870174</v>
      </c>
      <c r="Q394" s="4" t="str">
        <f t="shared" si="310"/>
        <v>1+1441,04093584608i</v>
      </c>
      <c r="R394" s="4">
        <f t="shared" si="322"/>
        <v>1441.0412828174442</v>
      </c>
      <c r="S394" s="4">
        <f t="shared" si="323"/>
        <v>1.5701023840937518</v>
      </c>
      <c r="T394" s="4" t="str">
        <f t="shared" si="311"/>
        <v>1+18,0779787972058i</v>
      </c>
      <c r="U394" s="4">
        <f t="shared" si="324"/>
        <v>18.105615631406252</v>
      </c>
      <c r="V394" s="4">
        <f t="shared" si="325"/>
        <v>1.5155367245249389</v>
      </c>
      <c r="W394" t="str">
        <f t="shared" si="312"/>
        <v>1-1,43876806460407i</v>
      </c>
      <c r="X394" s="4">
        <f t="shared" si="326"/>
        <v>1.7521568262357514</v>
      </c>
      <c r="Y394" s="4">
        <f t="shared" si="327"/>
        <v>-0.96340761941964836</v>
      </c>
      <c r="Z394" t="str">
        <f t="shared" si="313"/>
        <v>0,986754755140696+0,197675095259167i</v>
      </c>
      <c r="AA394" s="4">
        <f t="shared" si="328"/>
        <v>1.0063599704273296</v>
      </c>
      <c r="AB394" s="4">
        <f t="shared" si="329"/>
        <v>0.19771140068587117</v>
      </c>
      <c r="AC394" s="47" t="str">
        <f t="shared" si="330"/>
        <v>0,415526853040886-1,12052549601009i</v>
      </c>
      <c r="AD394" s="20">
        <f t="shared" si="331"/>
        <v>1.5480117762602439</v>
      </c>
      <c r="AE394" s="43">
        <f t="shared" si="332"/>
        <v>-69.653601364052619</v>
      </c>
      <c r="AF394" t="str">
        <f t="shared" si="314"/>
        <v>171,265703090588</v>
      </c>
      <c r="AG394" t="str">
        <f t="shared" si="315"/>
        <v>1+1427,25014896343i</v>
      </c>
      <c r="AH394">
        <f t="shared" si="333"/>
        <v>1427.2504992874001</v>
      </c>
      <c r="AI394">
        <f t="shared" si="334"/>
        <v>1.570095678883183</v>
      </c>
      <c r="AJ394" t="str">
        <f t="shared" si="316"/>
        <v>1+18,0779787972058i</v>
      </c>
      <c r="AK394">
        <f t="shared" si="335"/>
        <v>18.105615631406252</v>
      </c>
      <c r="AL394">
        <f t="shared" si="336"/>
        <v>1.5155367245249389</v>
      </c>
      <c r="AM394" t="str">
        <f t="shared" si="317"/>
        <v>1-0,454556534233193i</v>
      </c>
      <c r="AN394">
        <f t="shared" si="337"/>
        <v>1.0984633097259515</v>
      </c>
      <c r="AO394">
        <f t="shared" si="338"/>
        <v>-0.42663667556948354</v>
      </c>
      <c r="AP394" s="41" t="str">
        <f t="shared" si="339"/>
        <v>2,11553131903416-1,1045854979825i</v>
      </c>
      <c r="AQ394">
        <f t="shared" si="340"/>
        <v>7.5553809999962827</v>
      </c>
      <c r="AR394" s="43">
        <f t="shared" si="341"/>
        <v>-27.570478714997815</v>
      </c>
      <c r="AS394" t="str">
        <f t="shared" si="318"/>
        <v>-0,0000166666666666667</v>
      </c>
      <c r="AT394" t="str">
        <f t="shared" si="319"/>
        <v>0,0011982084346788i</v>
      </c>
      <c r="AU394">
        <f t="shared" si="342"/>
        <v>1.1982084346788E-3</v>
      </c>
      <c r="AV394">
        <f t="shared" si="343"/>
        <v>1.5707963267948966</v>
      </c>
      <c r="AW394" t="str">
        <f t="shared" si="320"/>
        <v>1+0,403236026762057i</v>
      </c>
      <c r="AX394">
        <f t="shared" si="344"/>
        <v>1.0782389778146819</v>
      </c>
      <c r="AY394">
        <f t="shared" si="345"/>
        <v>0.38329293869088238</v>
      </c>
      <c r="AZ394" t="str">
        <f t="shared" si="321"/>
        <v>1+95,4517280492468i</v>
      </c>
      <c r="BA394">
        <f t="shared" si="346"/>
        <v>95.456966155369543</v>
      </c>
      <c r="BB394">
        <f t="shared" si="347"/>
        <v>1.5603202103623974</v>
      </c>
      <c r="BC394" s="41" t="str">
        <f t="shared" si="348"/>
        <v>-1,13718612873297+0,472464071841938i</v>
      </c>
      <c r="BD394">
        <f t="shared" si="349"/>
        <v>1.808179544480204</v>
      </c>
      <c r="BE394" s="43">
        <f t="shared" si="350"/>
        <v>157.4386950385759</v>
      </c>
      <c r="BF394" s="41" t="str">
        <f t="shared" si="351"/>
        <v>0,0568766650534755+1,47056755990167i</v>
      </c>
      <c r="BG394" s="20">
        <f t="shared" si="352"/>
        <v>3.3561913207404555</v>
      </c>
      <c r="BH394" s="43">
        <f t="shared" si="353"/>
        <v>87.785093674523296</v>
      </c>
      <c r="BI394" s="41" t="str">
        <f t="shared" si="357"/>
        <v>-1,88387590883144+2,25563184740532i</v>
      </c>
      <c r="BJ394" s="20">
        <f t="shared" si="354"/>
        <v>9.3635605444764725</v>
      </c>
      <c r="BK394" s="43">
        <f t="shared" si="358"/>
        <v>129.86821632357811</v>
      </c>
      <c r="BL394">
        <f t="shared" si="355"/>
        <v>3.3561913207404555</v>
      </c>
      <c r="BM394" s="43">
        <f t="shared" si="356"/>
        <v>87.785093674523296</v>
      </c>
    </row>
    <row r="395" spans="14:65" x14ac:dyDescent="0.25">
      <c r="N395" s="9">
        <v>77</v>
      </c>
      <c r="O395" s="34">
        <f t="shared" si="359"/>
        <v>58884.365535558936</v>
      </c>
      <c r="P395" s="33" t="str">
        <f t="shared" si="309"/>
        <v>54,631621870174</v>
      </c>
      <c r="Q395" s="4" t="str">
        <f t="shared" si="310"/>
        <v>1+1474,60709124099i</v>
      </c>
      <c r="R395" s="4">
        <f t="shared" si="322"/>
        <v>1474.6074303143239</v>
      </c>
      <c r="S395" s="4">
        <f t="shared" si="323"/>
        <v>1.570118180153228</v>
      </c>
      <c r="T395" s="4" t="str">
        <f t="shared" si="311"/>
        <v>1+18,4990690177808i</v>
      </c>
      <c r="U395" s="4">
        <f t="shared" si="324"/>
        <v>18.526077688615516</v>
      </c>
      <c r="V395" s="4">
        <f t="shared" si="325"/>
        <v>1.5167921140258178</v>
      </c>
      <c r="W395" t="str">
        <f t="shared" si="312"/>
        <v>1-1,47228127802668i</v>
      </c>
      <c r="X395" s="4">
        <f t="shared" si="326"/>
        <v>1.7797786833277545</v>
      </c>
      <c r="Y395" s="4">
        <f t="shared" si="327"/>
        <v>-0.97415457506417735</v>
      </c>
      <c r="Z395" t="str">
        <f t="shared" si="313"/>
        <v>0,986130525981899+0,202279539727136i</v>
      </c>
      <c r="AA395" s="4">
        <f t="shared" si="328"/>
        <v>1.0066630153460288</v>
      </c>
      <c r="AB395" s="4">
        <f t="shared" si="329"/>
        <v>0.20231808127304179</v>
      </c>
      <c r="AC395" s="47" t="str">
        <f t="shared" si="330"/>
        <v>0,405821382369764-1,143610762487i</v>
      </c>
      <c r="AD395" s="20">
        <f t="shared" si="331"/>
        <v>1.6806608930209832</v>
      </c>
      <c r="AE395" s="43">
        <f t="shared" si="332"/>
        <v>-70.462276447803674</v>
      </c>
      <c r="AF395" t="str">
        <f t="shared" si="314"/>
        <v>171,265703090588</v>
      </c>
      <c r="AG395" t="str">
        <f t="shared" si="315"/>
        <v>1+1460,49507566594i</v>
      </c>
      <c r="AH395">
        <f t="shared" si="333"/>
        <v>1460.4954180155648</v>
      </c>
      <c r="AI395">
        <f t="shared" si="334"/>
        <v>1.5701116275717424</v>
      </c>
      <c r="AJ395" t="str">
        <f t="shared" si="316"/>
        <v>1+18,4990690177808i</v>
      </c>
      <c r="AK395">
        <f t="shared" si="335"/>
        <v>18.526077688615516</v>
      </c>
      <c r="AL395">
        <f t="shared" si="336"/>
        <v>1.5167921140258178</v>
      </c>
      <c r="AM395" t="str">
        <f t="shared" si="317"/>
        <v>1-0,465144516076253i</v>
      </c>
      <c r="AN395">
        <f t="shared" si="337"/>
        <v>1.1028868576766211</v>
      </c>
      <c r="AO395">
        <f t="shared" si="338"/>
        <v>-0.43537648976379323</v>
      </c>
      <c r="AP395" s="41" t="str">
        <f t="shared" si="339"/>
        <v>2,11552758175013-1,12485631453111i</v>
      </c>
      <c r="AQ395">
        <f t="shared" si="340"/>
        <v>7.5896929094722934</v>
      </c>
      <c r="AR395" s="43">
        <f t="shared" si="341"/>
        <v>-28.000218454558102</v>
      </c>
      <c r="AS395" t="str">
        <f t="shared" si="318"/>
        <v>-0,0000166666666666667</v>
      </c>
      <c r="AT395" t="str">
        <f t="shared" si="319"/>
        <v>0,00122611829449851i</v>
      </c>
      <c r="AU395">
        <f t="shared" si="342"/>
        <v>1.22611829449851E-3</v>
      </c>
      <c r="AV395">
        <f t="shared" si="343"/>
        <v>1.5707963267948966</v>
      </c>
      <c r="AW395" t="str">
        <f t="shared" si="320"/>
        <v>1+0,412628600420747i</v>
      </c>
      <c r="AX395">
        <f t="shared" si="344"/>
        <v>1.0817866526654802</v>
      </c>
      <c r="AY395">
        <f t="shared" si="345"/>
        <v>0.39134547435744194</v>
      </c>
      <c r="AZ395" t="str">
        <f t="shared" si="321"/>
        <v>1+97,6750844138826i</v>
      </c>
      <c r="BA395">
        <f t="shared" si="346"/>
        <v>97.680203292474218</v>
      </c>
      <c r="BB395">
        <f t="shared" si="347"/>
        <v>1.5605586590299532</v>
      </c>
      <c r="BC395" s="41" t="str">
        <f t="shared" si="348"/>
        <v>-1,12973964869014+0,479755923264503i</v>
      </c>
      <c r="BD395">
        <f t="shared" si="349"/>
        <v>1.779626265104056</v>
      </c>
      <c r="BE395" s="43">
        <f t="shared" si="350"/>
        <v>156.99098083278494</v>
      </c>
      <c r="BF395" s="41" t="str">
        <f t="shared" si="351"/>
        <v>0,0901815312628088+1,48667763302961i</v>
      </c>
      <c r="BG395" s="20">
        <f t="shared" si="352"/>
        <v>3.4602871581250416</v>
      </c>
      <c r="BH395" s="43">
        <f t="shared" si="353"/>
        <v>86.528704384981282</v>
      </c>
      <c r="BI395" s="41" t="str">
        <f t="shared" si="357"/>
        <v>-1,85033890728291+2,28573166577932i</v>
      </c>
      <c r="BJ395" s="20">
        <f t="shared" si="354"/>
        <v>9.3693191745763453</v>
      </c>
      <c r="BK395" s="43">
        <f t="shared" si="358"/>
        <v>128.99076237822675</v>
      </c>
      <c r="BL395">
        <f t="shared" si="355"/>
        <v>3.4602871581250416</v>
      </c>
      <c r="BM395" s="43">
        <f t="shared" si="356"/>
        <v>86.528704384981282</v>
      </c>
    </row>
    <row r="396" spans="14:65" x14ac:dyDescent="0.25">
      <c r="N396" s="9">
        <v>78</v>
      </c>
      <c r="O396" s="34">
        <f t="shared" si="359"/>
        <v>60255.95860743591</v>
      </c>
      <c r="P396" s="33" t="str">
        <f t="shared" si="309"/>
        <v>54,631621870174</v>
      </c>
      <c r="Q396" s="4" t="str">
        <f t="shared" si="310"/>
        <v>1+1508,95510283442i</v>
      </c>
      <c r="R396" s="4">
        <f t="shared" si="322"/>
        <v>1508.9554341895039</v>
      </c>
      <c r="S396" s="4">
        <f t="shared" si="323"/>
        <v>1.5701336166508197</v>
      </c>
      <c r="T396" s="4" t="str">
        <f t="shared" si="311"/>
        <v>1+18,9299676896132i</v>
      </c>
      <c r="U396" s="4">
        <f t="shared" si="324"/>
        <v>18.956362434016704</v>
      </c>
      <c r="V396" s="4">
        <f t="shared" si="325"/>
        <v>1.5180190920375634</v>
      </c>
      <c r="W396" t="str">
        <f t="shared" si="312"/>
        <v>1-1,50657511447086i</v>
      </c>
      <c r="X396" s="4">
        <f t="shared" si="326"/>
        <v>1.8082501418617074</v>
      </c>
      <c r="Y396" s="4">
        <f t="shared" si="327"/>
        <v>-0.98481071175777724</v>
      </c>
      <c r="Z396" t="str">
        <f t="shared" si="313"/>
        <v>0,985476877809196+0,206991235484555i</v>
      </c>
      <c r="AA396" s="4">
        <f t="shared" si="328"/>
        <v>1.0069806593296533</v>
      </c>
      <c r="AB396" s="4">
        <f t="shared" si="329"/>
        <v>0.20703212943804353</v>
      </c>
      <c r="AC396" s="47" t="str">
        <f t="shared" si="330"/>
        <v>0,395670803673804-1,16718162197632i</v>
      </c>
      <c r="AD396" s="20">
        <f t="shared" si="331"/>
        <v>1.8152012486315638</v>
      </c>
      <c r="AE396" s="43">
        <f t="shared" si="332"/>
        <v>-71.273506955071625</v>
      </c>
      <c r="AF396" t="str">
        <f t="shared" si="314"/>
        <v>171,265703090588</v>
      </c>
      <c r="AG396" t="str">
        <f t="shared" si="315"/>
        <v>1+1494,51437618951i</v>
      </c>
      <c r="AH396">
        <f t="shared" si="333"/>
        <v>1494.5147107463079</v>
      </c>
      <c r="AI396">
        <f t="shared" si="334"/>
        <v>1.5701272132241646</v>
      </c>
      <c r="AJ396" t="str">
        <f t="shared" si="316"/>
        <v>1+18,9299676896132i</v>
      </c>
      <c r="AK396">
        <f t="shared" si="335"/>
        <v>18.956362434016704</v>
      </c>
      <c r="AL396">
        <f t="shared" si="336"/>
        <v>1.5180190920375634</v>
      </c>
      <c r="AM396" t="str">
        <f t="shared" si="317"/>
        <v>1-0,475979123698654i</v>
      </c>
      <c r="AN396">
        <f t="shared" si="337"/>
        <v>1.1074999441069686</v>
      </c>
      <c r="AO396">
        <f t="shared" si="338"/>
        <v>-0.44424691027943225</v>
      </c>
      <c r="AP396" s="41" t="str">
        <f t="shared" si="339"/>
        <v>2,11552401267144-1,14572354455652i</v>
      </c>
      <c r="AQ396">
        <f t="shared" si="340"/>
        <v>7.6253784817863028</v>
      </c>
      <c r="AR396" s="43">
        <f t="shared" si="341"/>
        <v>-28.439048443086786</v>
      </c>
      <c r="AS396" t="str">
        <f t="shared" si="318"/>
        <v>-0,0000166666666666667</v>
      </c>
      <c r="AT396" t="str">
        <f t="shared" si="319"/>
        <v>0,00125467825846756i</v>
      </c>
      <c r="AU396">
        <f t="shared" si="342"/>
        <v>1.25467825846756E-3</v>
      </c>
      <c r="AV396">
        <f t="shared" si="343"/>
        <v>1.5707963267948966</v>
      </c>
      <c r="AW396" t="str">
        <f t="shared" si="320"/>
        <v>1+0,422239955225167i</v>
      </c>
      <c r="AX396">
        <f t="shared" si="344"/>
        <v>1.0854890970380822</v>
      </c>
      <c r="AY396">
        <f t="shared" si="345"/>
        <v>0.3995305439167165</v>
      </c>
      <c r="AZ396" t="str">
        <f t="shared" si="321"/>
        <v>1+99,9502294011574i</v>
      </c>
      <c r="BA396">
        <f t="shared" si="346"/>
        <v>99.95523176574595</v>
      </c>
      <c r="BB396">
        <f t="shared" si="347"/>
        <v>1.560791681068153</v>
      </c>
      <c r="BC396" s="41" t="str">
        <f t="shared" si="348"/>
        <v>-1,12204603894302+0,487056287218594i</v>
      </c>
      <c r="BD396">
        <f t="shared" si="349"/>
        <v>1.7499288407122222</v>
      </c>
      <c r="BE396" s="43">
        <f t="shared" si="350"/>
        <v>156.53536207133996</v>
      </c>
      <c r="BF396" s="41" t="str">
        <f t="shared" si="351"/>
        <v>0,12452228932197+1,50234546826378i</v>
      </c>
      <c r="BG396" s="20">
        <f t="shared" si="352"/>
        <v>3.5651300893437892</v>
      </c>
      <c r="BH396" s="43">
        <f t="shared" si="353"/>
        <v>85.26185511626835</v>
      </c>
      <c r="BI396" s="41" t="str">
        <f t="shared" si="357"/>
        <v>-1,81568348291621+2,31593383602693i</v>
      </c>
      <c r="BJ396" s="20">
        <f t="shared" si="354"/>
        <v>9.3753073224985251</v>
      </c>
      <c r="BK396" s="43">
        <f t="shared" si="358"/>
        <v>128.09631362825326</v>
      </c>
      <c r="BL396">
        <f t="shared" si="355"/>
        <v>3.5651300893437892</v>
      </c>
      <c r="BM396" s="43">
        <f t="shared" si="356"/>
        <v>85.26185511626835</v>
      </c>
    </row>
    <row r="397" spans="14:65" x14ac:dyDescent="0.25">
      <c r="N397" s="9">
        <v>79</v>
      </c>
      <c r="O397" s="34">
        <f t="shared" si="359"/>
        <v>61659.500186148245</v>
      </c>
      <c r="P397" s="33" t="str">
        <f t="shared" si="309"/>
        <v>54,631621870174</v>
      </c>
      <c r="Q397" s="4" t="str">
        <f t="shared" si="310"/>
        <v>1+1544,10318239674i</v>
      </c>
      <c r="R397" s="4">
        <f t="shared" si="322"/>
        <v>1544.1035062092631</v>
      </c>
      <c r="S397" s="4">
        <f t="shared" si="323"/>
        <v>1.5701487017711324</v>
      </c>
      <c r="T397" s="4" t="str">
        <f t="shared" si="311"/>
        <v>1+19,3709032808822i</v>
      </c>
      <c r="U397" s="4">
        <f t="shared" si="324"/>
        <v>19.396698015829728</v>
      </c>
      <c r="V397" s="4">
        <f t="shared" si="325"/>
        <v>1.5192182943343013</v>
      </c>
      <c r="W397" t="str">
        <f t="shared" si="312"/>
        <v>1-1,54166775698261i</v>
      </c>
      <c r="X397" s="4">
        <f t="shared" si="326"/>
        <v>1.8375906706662917</v>
      </c>
      <c r="Y397" s="4">
        <f t="shared" si="327"/>
        <v>-0.99537199914993091</v>
      </c>
      <c r="Z397" t="str">
        <f t="shared" si="313"/>
        <v>0,984792424147177+0,21181268073488i</v>
      </c>
      <c r="AA397" s="4">
        <f t="shared" si="328"/>
        <v>1.0073136206652671</v>
      </c>
      <c r="AB397" s="4">
        <f t="shared" si="329"/>
        <v>0.2118560464362638</v>
      </c>
      <c r="AC397" s="47" t="str">
        <f t="shared" si="330"/>
        <v>0,385055312973037-1,19124204862039i</v>
      </c>
      <c r="AD397" s="20">
        <f t="shared" si="331"/>
        <v>1.9515911983706278</v>
      </c>
      <c r="AE397" s="43">
        <f t="shared" si="332"/>
        <v>-72.087169316928154</v>
      </c>
      <c r="AF397" t="str">
        <f t="shared" si="314"/>
        <v>171,265703090588</v>
      </c>
      <c r="AG397" t="str">
        <f t="shared" si="315"/>
        <v>1+1529,32608801756i</v>
      </c>
      <c r="AH397">
        <f t="shared" si="333"/>
        <v>1529.3264149589174</v>
      </c>
      <c r="AI397">
        <f t="shared" si="334"/>
        <v>1.5701424441041387</v>
      </c>
      <c r="AJ397" t="str">
        <f t="shared" si="316"/>
        <v>1+19,3709032808822i</v>
      </c>
      <c r="AK397">
        <f t="shared" si="335"/>
        <v>19.396698015829728</v>
      </c>
      <c r="AL397">
        <f t="shared" si="336"/>
        <v>1.5192182943343013</v>
      </c>
      <c r="AM397" t="str">
        <f t="shared" si="317"/>
        <v>1-0,487066101752766i</v>
      </c>
      <c r="AN397">
        <f t="shared" si="337"/>
        <v>1.1123099331915705</v>
      </c>
      <c r="AO397">
        <f t="shared" si="338"/>
        <v>-0.45324705561383755</v>
      </c>
      <c r="AP397" s="41" t="str">
        <f t="shared" si="339"/>
        <v>2,1155206042276-1,16719825215567i</v>
      </c>
      <c r="AQ397">
        <f t="shared" si="340"/>
        <v>7.6624766382927305</v>
      </c>
      <c r="AR397" s="43">
        <f t="shared" si="341"/>
        <v>-28.886882220507935</v>
      </c>
      <c r="AS397" t="str">
        <f t="shared" si="318"/>
        <v>-0,0000166666666666667</v>
      </c>
      <c r="AT397" t="str">
        <f t="shared" si="319"/>
        <v>0,00128390346945687i</v>
      </c>
      <c r="AU397">
        <f t="shared" si="342"/>
        <v>1.2839034694568699E-3</v>
      </c>
      <c r="AV397">
        <f t="shared" si="343"/>
        <v>1.5707963267948966</v>
      </c>
      <c r="AW397" t="str">
        <f t="shared" si="320"/>
        <v>1+0,432075187242852i</v>
      </c>
      <c r="AX397">
        <f t="shared" si="344"/>
        <v>1.0893525450610311</v>
      </c>
      <c r="AY397">
        <f t="shared" si="345"/>
        <v>0.40784809925727317</v>
      </c>
      <c r="AZ397" t="str">
        <f t="shared" si="321"/>
        <v>1+102,278369323058i</v>
      </c>
      <c r="BA397">
        <f t="shared" si="346"/>
        <v>102.28325782543226</v>
      </c>
      <c r="BB397">
        <f t="shared" si="347"/>
        <v>1.5610193999270845</v>
      </c>
      <c r="BC397" s="41" t="str">
        <f t="shared" si="348"/>
        <v>-1,11410135753908+0,494356798580064i</v>
      </c>
      <c r="BD397">
        <f t="shared" si="349"/>
        <v>1.7190495416121332</v>
      </c>
      <c r="BE397" s="43">
        <f t="shared" si="350"/>
        <v>156.07184858399191</v>
      </c>
      <c r="BF397" s="41" t="str">
        <f t="shared" si="351"/>
        <v>0,159907958579037+1,51751909532321i</v>
      </c>
      <c r="BG397" s="20">
        <f t="shared" si="352"/>
        <v>3.6706407399827805</v>
      </c>
      <c r="BH397" s="43">
        <f t="shared" si="353"/>
        <v>83.984679267063768</v>
      </c>
      <c r="BI397" s="41" t="str">
        <f t="shared" si="357"/>
        <v>-1,77989198582794+2,34619915047999i</v>
      </c>
      <c r="BJ397" s="20">
        <f t="shared" si="354"/>
        <v>9.3815261799048582</v>
      </c>
      <c r="BK397" s="43">
        <f t="shared" si="358"/>
        <v>127.18496636348398</v>
      </c>
      <c r="BL397">
        <f t="shared" si="355"/>
        <v>3.6706407399827805</v>
      </c>
      <c r="BM397" s="43">
        <f t="shared" si="356"/>
        <v>83.984679267063768</v>
      </c>
    </row>
    <row r="398" spans="14:65" x14ac:dyDescent="0.25">
      <c r="N398" s="9">
        <v>80</v>
      </c>
      <c r="O398" s="34">
        <f t="shared" si="359"/>
        <v>63095.734448019342</v>
      </c>
      <c r="P398" s="33" t="str">
        <f t="shared" si="309"/>
        <v>54,631621870174</v>
      </c>
      <c r="Q398" s="4" t="str">
        <f t="shared" si="310"/>
        <v>1+1580,069965905i</v>
      </c>
      <c r="R398" s="4">
        <f t="shared" si="322"/>
        <v>1580.0702823466518</v>
      </c>
      <c r="S398" s="4">
        <f t="shared" si="323"/>
        <v>1.5701634435124696</v>
      </c>
      <c r="T398" s="4" t="str">
        <f t="shared" si="311"/>
        <v>1+19,822109581475i</v>
      </c>
      <c r="U398" s="4">
        <f t="shared" si="324"/>
        <v>19.847317910992484</v>
      </c>
      <c r="V398" s="4">
        <f t="shared" si="325"/>
        <v>1.520390342944687</v>
      </c>
      <c r="W398" t="str">
        <f t="shared" si="312"/>
        <v>1-1,57757781214549i</v>
      </c>
      <c r="X398" s="4">
        <f t="shared" si="326"/>
        <v>1.8678200537990137</v>
      </c>
      <c r="Y398" s="4">
        <f t="shared" si="327"/>
        <v>-1.0058346127033992</v>
      </c>
      <c r="Z398" t="str">
        <f t="shared" si="313"/>
        <v>0,98407571317786+0,216746431872203i</v>
      </c>
      <c r="AA398" s="4">
        <f t="shared" si="328"/>
        <v>1.0076626543619871</v>
      </c>
      <c r="AB398" s="4">
        <f t="shared" si="329"/>
        <v>0.21679239130001987</v>
      </c>
      <c r="AC398" s="47" t="str">
        <f t="shared" si="330"/>
        <v>0,373954287082001-1,21579568082218i</v>
      </c>
      <c r="AD398" s="20">
        <f t="shared" si="331"/>
        <v>2.0897877128554017</v>
      </c>
      <c r="AE398" s="43">
        <f t="shared" si="332"/>
        <v>-72.903155843934499</v>
      </c>
      <c r="AF398" t="str">
        <f t="shared" si="314"/>
        <v>171,265703090588</v>
      </c>
      <c r="AG398" t="str">
        <f t="shared" si="315"/>
        <v>1+1564,94866878051i</v>
      </c>
      <c r="AH398">
        <f t="shared" si="333"/>
        <v>1564.9489882797748</v>
      </c>
      <c r="AI398">
        <f t="shared" si="334"/>
        <v>1.5701573282872505</v>
      </c>
      <c r="AJ398" t="str">
        <f t="shared" si="316"/>
        <v>1+19,822109581475i</v>
      </c>
      <c r="AK398">
        <f t="shared" si="335"/>
        <v>19.847317910992484</v>
      </c>
      <c r="AL398">
        <f t="shared" si="336"/>
        <v>1.520390342944687</v>
      </c>
      <c r="AM398" t="str">
        <f t="shared" si="317"/>
        <v>1-0,498411328701109i</v>
      </c>
      <c r="AN398">
        <f t="shared" si="337"/>
        <v>1.1173244168895644</v>
      </c>
      <c r="AO398">
        <f t="shared" si="338"/>
        <v>-0.46237586449327051</v>
      </c>
      <c r="AP398" s="41" t="str">
        <f t="shared" si="339"/>
        <v>2,11551734918888-1,18929182351714i</v>
      </c>
      <c r="AQ398">
        <f t="shared" si="340"/>
        <v>7.7010266365377849</v>
      </c>
      <c r="AR398" s="43">
        <f t="shared" si="341"/>
        <v>-29.343623803395609</v>
      </c>
      <c r="AS398" t="str">
        <f t="shared" si="318"/>
        <v>-0,0000166666666666667</v>
      </c>
      <c r="AT398" t="str">
        <f t="shared" si="319"/>
        <v>0,00131380942306016i</v>
      </c>
      <c r="AU398">
        <f t="shared" si="342"/>
        <v>1.31380942306016E-3</v>
      </c>
      <c r="AV398">
        <f t="shared" si="343"/>
        <v>1.5707963267948966</v>
      </c>
      <c r="AW398" t="str">
        <f t="shared" si="320"/>
        <v>1+0,442139511244005i</v>
      </c>
      <c r="AX398">
        <f t="shared" si="344"/>
        <v>1.0933834402455012</v>
      </c>
      <c r="AY398">
        <f t="shared" si="345"/>
        <v>0.41629794602287856</v>
      </c>
      <c r="AZ398" t="str">
        <f t="shared" si="321"/>
        <v>1+104,660738590188i</v>
      </c>
      <c r="BA398">
        <f t="shared" si="346"/>
        <v>104.66551582180095</v>
      </c>
      <c r="BB398">
        <f t="shared" si="347"/>
        <v>1.5612419362517778</v>
      </c>
      <c r="BC398" s="41" t="str">
        <f t="shared" si="348"/>
        <v>-1,10590195075121+0,501648704670328i</v>
      </c>
      <c r="BD398">
        <f t="shared" si="349"/>
        <v>1.6869500651586657</v>
      </c>
      <c r="BE398" s="43">
        <f t="shared" si="350"/>
        <v>155.60045841898366</v>
      </c>
      <c r="BF398" s="41" t="str">
        <f t="shared" si="351"/>
        <v>0,196345552852463+1,53214449885675i</v>
      </c>
      <c r="BG398" s="20">
        <f t="shared" si="352"/>
        <v>3.7767377780140876</v>
      </c>
      <c r="BH398" s="43">
        <f t="shared" si="353"/>
        <v>82.697302575049207</v>
      </c>
      <c r="BI398" s="41" t="str">
        <f t="shared" si="357"/>
        <v>-1,74294806057363+2,37648668556828i</v>
      </c>
      <c r="BJ398" s="20">
        <f t="shared" si="354"/>
        <v>9.3879767016964646</v>
      </c>
      <c r="BK398" s="43">
        <f t="shared" si="358"/>
        <v>126.2568346155881</v>
      </c>
      <c r="BL398">
        <f t="shared" si="355"/>
        <v>3.7767377780140876</v>
      </c>
      <c r="BM398" s="43">
        <f t="shared" si="356"/>
        <v>82.697302575049207</v>
      </c>
    </row>
    <row r="399" spans="14:65" x14ac:dyDescent="0.25">
      <c r="N399" s="9">
        <v>81</v>
      </c>
      <c r="O399" s="34">
        <f t="shared" si="359"/>
        <v>64565.422903465682</v>
      </c>
      <c r="P399" s="33" t="str">
        <f t="shared" si="309"/>
        <v>54,631621870174</v>
      </c>
      <c r="Q399" s="4" t="str">
        <f t="shared" si="310"/>
        <v>1+1616,87452342388i</v>
      </c>
      <c r="R399" s="4">
        <f t="shared" si="322"/>
        <v>1616.8748326624418</v>
      </c>
      <c r="S399" s="4">
        <f t="shared" si="323"/>
        <v>1.5701778496910719</v>
      </c>
      <c r="T399" s="4" t="str">
        <f t="shared" si="311"/>
        <v>1+20,2838258269446i</v>
      </c>
      <c r="U399" s="4">
        <f t="shared" si="324"/>
        <v>20.308461048977215</v>
      </c>
      <c r="V399" s="4">
        <f t="shared" si="325"/>
        <v>1.5215358464167696</v>
      </c>
      <c r="W399" t="str">
        <f t="shared" si="312"/>
        <v>1-1,61432431994608i</v>
      </c>
      <c r="X399" s="4">
        <f t="shared" si="326"/>
        <v>1.8989584013267309</v>
      </c>
      <c r="Y399" s="4">
        <f t="shared" si="327"/>
        <v>-1.0161949371596746</v>
      </c>
      <c r="Z399" t="str">
        <f t="shared" si="313"/>
        <v>0,983325224661187+0,221795104836684i</v>
      </c>
      <c r="AA399" s="4">
        <f t="shared" si="328"/>
        <v>1.0080285541513641</v>
      </c>
      <c r="AB399" s="4">
        <f t="shared" si="329"/>
        <v>0.22184378208911948</v>
      </c>
      <c r="AC399" s="47" t="str">
        <f t="shared" si="330"/>
        <v>0,36234625600033-1,24084578241088i</v>
      </c>
      <c r="AD399" s="20">
        <f t="shared" si="331"/>
        <v>2.2297464746731404</v>
      </c>
      <c r="AE399" s="43">
        <f t="shared" si="332"/>
        <v>-73.721374981416801</v>
      </c>
      <c r="AF399" t="str">
        <f t="shared" si="314"/>
        <v>171,265703090588</v>
      </c>
      <c r="AG399" t="str">
        <f t="shared" si="315"/>
        <v>1+1601,4010060422i</v>
      </c>
      <c r="AH399">
        <f t="shared" si="333"/>
        <v>1601.401318268775</v>
      </c>
      <c r="AI399">
        <f t="shared" si="334"/>
        <v>1.5701718736652643</v>
      </c>
      <c r="AJ399" t="str">
        <f t="shared" si="316"/>
        <v>1+20,2838258269446i</v>
      </c>
      <c r="AK399">
        <f t="shared" si="335"/>
        <v>20.308461048977215</v>
      </c>
      <c r="AL399">
        <f t="shared" si="336"/>
        <v>1.5215358464167696</v>
      </c>
      <c r="AM399" t="str">
        <f t="shared" si="317"/>
        <v>1-0,510020819933186i</v>
      </c>
      <c r="AN399">
        <f t="shared" si="337"/>
        <v>1.1225512178806449</v>
      </c>
      <c r="AO399">
        <f t="shared" si="338"/>
        <v>-0.47163209016829349</v>
      </c>
      <c r="AP399" s="41" t="str">
        <f t="shared" si="339"/>
        <v>2,1155142406509-1,21201597295829i</v>
      </c>
      <c r="AQ399">
        <f t="shared" si="340"/>
        <v>7.7410679964980398</v>
      </c>
      <c r="AR399" s="43">
        <f t="shared" si="341"/>
        <v>-29.80916734319872</v>
      </c>
      <c r="AS399" t="str">
        <f t="shared" si="318"/>
        <v>-0,0000166666666666667</v>
      </c>
      <c r="AT399" t="str">
        <f t="shared" si="319"/>
        <v>0,00134441197580989i</v>
      </c>
      <c r="AU399">
        <f t="shared" si="342"/>
        <v>1.3444119758098899E-3</v>
      </c>
      <c r="AV399">
        <f t="shared" si="343"/>
        <v>1.5707963267948966</v>
      </c>
      <c r="AW399" t="str">
        <f t="shared" si="320"/>
        <v>1+0,452438263466429i</v>
      </c>
      <c r="AX399">
        <f t="shared" si="344"/>
        <v>1.097588439374485</v>
      </c>
      <c r="AY399">
        <f t="shared" si="345"/>
        <v>0.42487973683884694</v>
      </c>
      <c r="AZ399" t="str">
        <f t="shared" si="321"/>
        <v>1+107,098600366267i</v>
      </c>
      <c r="BA399">
        <f t="shared" si="346"/>
        <v>107.10326885960748</v>
      </c>
      <c r="BB399">
        <f t="shared" si="347"/>
        <v>1.5614594079457229</v>
      </c>
      <c r="BC399" s="41" t="str">
        <f t="shared" si="348"/>
        <v>-1,09744448418272+0,508922870279491i</v>
      </c>
      <c r="BD399">
        <f t="shared" si="349"/>
        <v>1.6535915816104572</v>
      </c>
      <c r="BE399" s="43">
        <f t="shared" si="350"/>
        <v>155.12121823479114</v>
      </c>
      <c r="BF399" s="41" t="str">
        <f t="shared" si="351"/>
        <v>0,233839897146924+1,54616565626693i</v>
      </c>
      <c r="BG399" s="20">
        <f t="shared" si="352"/>
        <v>3.8833380562836135</v>
      </c>
      <c r="BH399" s="43">
        <f t="shared" si="353"/>
        <v>81.399843253374357</v>
      </c>
      <c r="BI399" s="41" t="str">
        <f t="shared" si="357"/>
        <v>-1,7048367868298+2,40675382373362i</v>
      </c>
      <c r="BJ399" s="20">
        <f t="shared" si="354"/>
        <v>9.3946595781084863</v>
      </c>
      <c r="BK399" s="43">
        <f t="shared" si="358"/>
        <v>125.31205089159241</v>
      </c>
      <c r="BL399">
        <f t="shared" si="355"/>
        <v>3.8833380562836135</v>
      </c>
      <c r="BM399" s="43">
        <f t="shared" si="356"/>
        <v>81.399843253374357</v>
      </c>
    </row>
    <row r="400" spans="14:65" x14ac:dyDescent="0.25">
      <c r="N400" s="9">
        <v>82</v>
      </c>
      <c r="O400" s="34">
        <f t="shared" si="359"/>
        <v>66069.344800759733</v>
      </c>
      <c r="P400" s="33" t="str">
        <f t="shared" si="309"/>
        <v>54,631621870174</v>
      </c>
      <c r="Q400" s="4" t="str">
        <f t="shared" si="310"/>
        <v>1+1654,53636921694i</v>
      </c>
      <c r="R400" s="4">
        <f t="shared" si="322"/>
        <v>1654.5366714163742</v>
      </c>
      <c r="S400" s="4">
        <f t="shared" si="323"/>
        <v>1.5701919279452616</v>
      </c>
      <c r="T400" s="4" t="str">
        <f t="shared" si="311"/>
        <v>1+20,7562968253558i</v>
      </c>
      <c r="U400" s="4">
        <f t="shared" si="324"/>
        <v>20.780371938497044</v>
      </c>
      <c r="V400" s="4">
        <f t="shared" si="325"/>
        <v>1.5226554000799863</v>
      </c>
      <c r="W400" t="str">
        <f t="shared" si="312"/>
        <v>1-1,65192676386922i</v>
      </c>
      <c r="X400" s="4">
        <f t="shared" si="326"/>
        <v>1.9310261606688384</v>
      </c>
      <c r="Y400" s="4">
        <f t="shared" si="327"/>
        <v>-1.026449569051922</v>
      </c>
      <c r="Z400" t="str">
        <f t="shared" si="313"/>
        <v>0,982539366710393+0,226961376501554i</v>
      </c>
      <c r="AA400" s="4">
        <f t="shared" si="328"/>
        <v>1.008412154607004</v>
      </c>
      <c r="AB400" s="4">
        <f t="shared" si="329"/>
        <v>0.22701289715662493</v>
      </c>
      <c r="AC400" s="47" t="str">
        <f t="shared" si="330"/>
        <v>0,350208875064049-1,26639520092621i</v>
      </c>
      <c r="AD400" s="20">
        <f t="shared" si="331"/>
        <v>2.3714219739141469</v>
      </c>
      <c r="AE400" s="43">
        <f t="shared" si="332"/>
        <v>-74.541751511195571</v>
      </c>
      <c r="AF400" t="str">
        <f t="shared" si="314"/>
        <v>171,265703090588</v>
      </c>
      <c r="AG400" t="str">
        <f t="shared" si="315"/>
        <v>1+1638,70242731433i</v>
      </c>
      <c r="AH400">
        <f t="shared" si="333"/>
        <v>1638.7027324337616</v>
      </c>
      <c r="AI400">
        <f t="shared" si="334"/>
        <v>1.5701860879503076</v>
      </c>
      <c r="AJ400" t="str">
        <f t="shared" si="316"/>
        <v>1+20,7562968253558i</v>
      </c>
      <c r="AK400">
        <f t="shared" si="335"/>
        <v>20.780371938497044</v>
      </c>
      <c r="AL400">
        <f t="shared" si="336"/>
        <v>1.5226554000799863</v>
      </c>
      <c r="AM400" t="str">
        <f t="shared" si="317"/>
        <v>1-0,521900730954914i</v>
      </c>
      <c r="AN400">
        <f t="shared" si="337"/>
        <v>1.127998392273355</v>
      </c>
      <c r="AO400">
        <f t="shared" si="338"/>
        <v>-0.48101429506844873</v>
      </c>
      <c r="AP400" s="41" t="str">
        <f t="shared" si="339"/>
        <v>2,1155112720201-1,23538274913647i</v>
      </c>
      <c r="AQ400">
        <f t="shared" si="340"/>
        <v>7.7826404220062928</v>
      </c>
      <c r="AR400" s="43">
        <f t="shared" si="341"/>
        <v>-30.283396805205641</v>
      </c>
      <c r="AS400" t="str">
        <f t="shared" si="318"/>
        <v>-0,0000166666666666667</v>
      </c>
      <c r="AT400" t="str">
        <f t="shared" si="319"/>
        <v>0,00137572735358458i</v>
      </c>
      <c r="AU400">
        <f t="shared" si="342"/>
        <v>1.37572735358458E-3</v>
      </c>
      <c r="AV400">
        <f t="shared" si="343"/>
        <v>1.5707963267948966</v>
      </c>
      <c r="AW400" t="str">
        <f t="shared" si="320"/>
        <v>1+0,46297690444487i</v>
      </c>
      <c r="AX400">
        <f t="shared" si="344"/>
        <v>1.1019744162408465</v>
      </c>
      <c r="AY400">
        <f t="shared" si="345"/>
        <v>0.43359296464793834</v>
      </c>
      <c r="AZ400" t="str">
        <f t="shared" si="321"/>
        <v>1+109,593247237879i</v>
      </c>
      <c r="BA400">
        <f t="shared" si="346"/>
        <v>109.59780946781225</v>
      </c>
      <c r="BB400">
        <f t="shared" si="347"/>
        <v>1.5616719302329631</v>
      </c>
      <c r="BC400" s="41" t="str">
        <f t="shared" si="348"/>
        <v>-1,08872597458551+0,516169785081128i</v>
      </c>
      <c r="BD400">
        <f t="shared" si="349"/>
        <v>1.6189347847518984</v>
      </c>
      <c r="BE400" s="43">
        <f t="shared" si="350"/>
        <v>154.6341636855056</v>
      </c>
      <c r="BF400" s="41" t="str">
        <f t="shared" si="351"/>
        <v>0,272393439877252+1,55952458911411i</v>
      </c>
      <c r="BG400" s="20">
        <f t="shared" si="352"/>
        <v>3.99035675866602</v>
      </c>
      <c r="BH400" s="43">
        <f t="shared" si="353"/>
        <v>80.092412174310013</v>
      </c>
      <c r="BI400" s="41" t="str">
        <f t="shared" si="357"/>
        <v>-1,66554482326201+2,43695628615505i</v>
      </c>
      <c r="BJ400" s="20">
        <f t="shared" si="354"/>
        <v>9.4015752067581921</v>
      </c>
      <c r="BK400" s="43">
        <f t="shared" si="358"/>
        <v>124.35076688029993</v>
      </c>
      <c r="BL400">
        <f t="shared" si="355"/>
        <v>3.99035675866602</v>
      </c>
      <c r="BM400" s="43">
        <f t="shared" si="356"/>
        <v>80.092412174310013</v>
      </c>
    </row>
    <row r="401" spans="14:65" x14ac:dyDescent="0.25">
      <c r="N401" s="9">
        <v>83</v>
      </c>
      <c r="O401" s="34">
        <f t="shared" si="359"/>
        <v>67608.297539198305</v>
      </c>
      <c r="P401" s="33" t="str">
        <f t="shared" si="309"/>
        <v>54,631621870174</v>
      </c>
      <c r="Q401" s="4" t="str">
        <f t="shared" si="310"/>
        <v>1+1693,07547209333i</v>
      </c>
      <c r="R401" s="4">
        <f t="shared" si="322"/>
        <v>1693.0757674138663</v>
      </c>
      <c r="S401" s="4">
        <f t="shared" si="323"/>
        <v>1.5702056857394935</v>
      </c>
      <c r="T401" s="4" t="str">
        <f t="shared" si="311"/>
        <v>1+21,2397730870859i</v>
      </c>
      <c r="U401" s="4">
        <f t="shared" si="324"/>
        <v>21.263300797169251</v>
      </c>
      <c r="V401" s="4">
        <f t="shared" si="325"/>
        <v>1.5237495863041368</v>
      </c>
      <c r="W401" t="str">
        <f t="shared" si="312"/>
        <v>1-1,6904050812284i</v>
      </c>
      <c r="X401" s="4">
        <f t="shared" si="326"/>
        <v>1.9640441284866268</v>
      </c>
      <c r="Y401" s="4">
        <f t="shared" si="327"/>
        <v>-1.0365953182933489</v>
      </c>
      <c r="Z401" t="str">
        <f t="shared" si="313"/>
        <v>0,981716472415405+0,232247986092434i</v>
      </c>
      <c r="AA401" s="4">
        <f t="shared" si="328"/>
        <v>1.0088143333913027</v>
      </c>
      <c r="AB401" s="4">
        <f t="shared" si="329"/>
        <v>0.23230247642837004</v>
      </c>
      <c r="AC401" s="47" t="str">
        <f t="shared" si="330"/>
        <v>0,337518896947947-1,29244632283819i</v>
      </c>
      <c r="AD401" s="20">
        <f t="shared" si="331"/>
        <v>2.5147676019049681</v>
      </c>
      <c r="AE401" s="43">
        <f t="shared" si="332"/>
        <v>-75.364226701298108</v>
      </c>
      <c r="AF401" t="str">
        <f t="shared" si="314"/>
        <v>171,265703090588</v>
      </c>
      <c r="AG401" t="str">
        <f t="shared" si="315"/>
        <v>1+1676,87271030421i</v>
      </c>
      <c r="AH401">
        <f t="shared" si="333"/>
        <v>1676.8730084782767</v>
      </c>
      <c r="AI401">
        <f t="shared" si="334"/>
        <v>1.5701999786789596</v>
      </c>
      <c r="AJ401" t="str">
        <f t="shared" si="316"/>
        <v>1+21,2397730870859i</v>
      </c>
      <c r="AK401">
        <f t="shared" si="335"/>
        <v>21.263300797169251</v>
      </c>
      <c r="AL401">
        <f t="shared" si="336"/>
        <v>1.5237495863041368</v>
      </c>
      <c r="AM401" t="str">
        <f t="shared" si="317"/>
        <v>1-0,534057360652366i</v>
      </c>
      <c r="AN401">
        <f t="shared" si="337"/>
        <v>1.1336742320732933</v>
      </c>
      <c r="AO401">
        <f t="shared" si="338"/>
        <v>-0.49052084587001499</v>
      </c>
      <c r="AP401" s="41" t="str">
        <f t="shared" si="339"/>
        <v>2,11550843699959-1,25940454143734i</v>
      </c>
      <c r="AQ401">
        <f t="shared" si="340"/>
        <v>7.8257837174441747</v>
      </c>
      <c r="AR401" s="43">
        <f t="shared" si="341"/>
        <v>-30.7661856713429</v>
      </c>
      <c r="AS401" t="str">
        <f t="shared" si="318"/>
        <v>-0,0000166666666666667</v>
      </c>
      <c r="AT401" t="str">
        <f t="shared" si="319"/>
        <v>0,00140777216021205i</v>
      </c>
      <c r="AU401">
        <f t="shared" si="342"/>
        <v>1.4077721602120501E-3</v>
      </c>
      <c r="AV401">
        <f t="shared" si="343"/>
        <v>1.5707963267948966</v>
      </c>
      <c r="AW401" t="str">
        <f t="shared" si="320"/>
        <v>1+0,473761021906272i</v>
      </c>
      <c r="AX401">
        <f t="shared" si="344"/>
        <v>1.1065484652186162</v>
      </c>
      <c r="AY401">
        <f t="shared" si="345"/>
        <v>0.44243695619878765</v>
      </c>
      <c r="AZ401" t="str">
        <f t="shared" si="321"/>
        <v>1+112,146001899813i</v>
      </c>
      <c r="BA401">
        <f t="shared" si="346"/>
        <v>112.15046028489077</v>
      </c>
      <c r="BB401">
        <f t="shared" si="347"/>
        <v>1.5618796157187937</v>
      </c>
      <c r="BC401" s="41" t="str">
        <f t="shared" si="348"/>
        <v>-1,07974382221976+0,523379573593594i</v>
      </c>
      <c r="BD401">
        <f t="shared" si="349"/>
        <v>1.5829399473739065</v>
      </c>
      <c r="BE401" s="43">
        <f t="shared" si="350"/>
        <v>154.13933979739679</v>
      </c>
      <c r="BF401" s="41" t="str">
        <f t="shared" si="351"/>
        <v>0,312006061477687+1,57216142899958i</v>
      </c>
      <c r="BG401" s="20">
        <f t="shared" si="352"/>
        <v>4.0977075492788861</v>
      </c>
      <c r="BH401" s="43">
        <f t="shared" si="353"/>
        <v>78.775113096098693</v>
      </c>
      <c r="BI401" s="41" t="str">
        <f t="shared" si="357"/>
        <v>-1,62506055382478+2,46704817698297i</v>
      </c>
      <c r="BJ401" s="20">
        <f t="shared" si="354"/>
        <v>9.4087236648180799</v>
      </c>
      <c r="BK401" s="43">
        <f t="shared" si="358"/>
        <v>123.37315412605398</v>
      </c>
      <c r="BL401">
        <f t="shared" si="355"/>
        <v>4.0977075492788861</v>
      </c>
      <c r="BM401" s="43">
        <f t="shared" si="356"/>
        <v>78.775113096098693</v>
      </c>
    </row>
    <row r="402" spans="14:65" x14ac:dyDescent="0.25">
      <c r="N402" s="9">
        <v>84</v>
      </c>
      <c r="O402" s="34">
        <f t="shared" si="359"/>
        <v>69183.097091893651</v>
      </c>
      <c r="P402" s="33" t="str">
        <f t="shared" si="309"/>
        <v>54,631621870174</v>
      </c>
      <c r="Q402" s="4" t="str">
        <f t="shared" si="310"/>
        <v>1+1732,51226599553i</v>
      </c>
      <c r="R402" s="4">
        <f t="shared" si="322"/>
        <v>1732.5125545937515</v>
      </c>
      <c r="S402" s="4">
        <f t="shared" si="323"/>
        <v>1.5702191303683111</v>
      </c>
      <c r="T402" s="4" t="str">
        <f t="shared" si="311"/>
        <v>1+21,7345109576483i</v>
      </c>
      <c r="U402" s="4">
        <f t="shared" si="324"/>
        <v>21.75750368420362</v>
      </c>
      <c r="V402" s="4">
        <f t="shared" si="325"/>
        <v>1.5248189747552234</v>
      </c>
      <c r="W402" t="str">
        <f t="shared" si="312"/>
        <v>1-1,7297796737368i</v>
      </c>
      <c r="X402" s="4">
        <f t="shared" si="326"/>
        <v>1.9980334631014043</v>
      </c>
      <c r="Y402" s="4">
        <f t="shared" si="327"/>
        <v>-1.0466292088749383</v>
      </c>
      <c r="Z402" t="str">
        <f t="shared" si="313"/>
        <v>0,980854796307094+0,237657736639705i</v>
      </c>
      <c r="AA402" s="4">
        <f t="shared" si="328"/>
        <v>1.0092360136377112</v>
      </c>
      <c r="AB402" s="4">
        <f t="shared" si="329"/>
        <v>0.2377153226945001</v>
      </c>
      <c r="AC402" s="47" t="str">
        <f t="shared" si="330"/>
        <v>0,324252143623197-1,3190010255091i</v>
      </c>
      <c r="AD402" s="20">
        <f t="shared" si="331"/>
        <v>2.6597357424746852</v>
      </c>
      <c r="AE402" s="43">
        <f t="shared" si="332"/>
        <v>-76.188758405502696</v>
      </c>
      <c r="AF402" t="str">
        <f t="shared" si="314"/>
        <v>171,265703090588</v>
      </c>
      <c r="AG402" t="str">
        <f t="shared" si="315"/>
        <v>1+1715,93209340113i</v>
      </c>
      <c r="AH402">
        <f t="shared" si="333"/>
        <v>1715.9323847879277</v>
      </c>
      <c r="AI402">
        <f t="shared" si="334"/>
        <v>1.5702135532162467</v>
      </c>
      <c r="AJ402" t="str">
        <f t="shared" si="316"/>
        <v>1+21,7345109576483i</v>
      </c>
      <c r="AK402">
        <f t="shared" si="335"/>
        <v>21.75750368420362</v>
      </c>
      <c r="AL402">
        <f t="shared" si="336"/>
        <v>1.5248189747552234</v>
      </c>
      <c r="AM402" t="str">
        <f t="shared" si="317"/>
        <v>1-0,54649715463152i</v>
      </c>
      <c r="AN402">
        <f t="shared" si="337"/>
        <v>1.1395872674000651</v>
      </c>
      <c r="AO402">
        <f t="shared" si="338"/>
        <v>-0.50014990903167522</v>
      </c>
      <c r="AP402" s="41" t="str">
        <f t="shared" si="339"/>
        <v>2,11550572957592-1,28409408654405i</v>
      </c>
      <c r="AQ402">
        <f t="shared" si="340"/>
        <v>7.8705376998299359</v>
      </c>
      <c r="AR402" s="43">
        <f t="shared" si="341"/>
        <v>-31.257396669959167</v>
      </c>
      <c r="AS402" t="str">
        <f t="shared" si="318"/>
        <v>-0,0000166666666666667</v>
      </c>
      <c r="AT402" t="str">
        <f t="shared" si="319"/>
        <v>0,00144056338627293i</v>
      </c>
      <c r="AU402">
        <f t="shared" si="342"/>
        <v>1.44056338627293E-3</v>
      </c>
      <c r="AV402">
        <f t="shared" si="343"/>
        <v>1.5707963267948966</v>
      </c>
      <c r="AW402" t="str">
        <f t="shared" si="320"/>
        <v>1+0,484796333732456i</v>
      </c>
      <c r="AX402">
        <f t="shared" si="344"/>
        <v>1.1113179046521435</v>
      </c>
      <c r="AY402">
        <f t="shared" si="345"/>
        <v>0.45141086573244804</v>
      </c>
      <c r="AZ402" t="str">
        <f t="shared" si="321"/>
        <v>1+114,758217856383i</v>
      </c>
      <c r="BA402">
        <f t="shared" si="346"/>
        <v>114.76257476012405</v>
      </c>
      <c r="BB402">
        <f t="shared" si="347"/>
        <v>1.5620825744491023</v>
      </c>
      <c r="BC402" s="41" t="str">
        <f t="shared" si="348"/>
        <v>-1,07049584356165+0,530542007833386i</v>
      </c>
      <c r="BD402">
        <f t="shared" si="349"/>
        <v>1.5455669816852007</v>
      </c>
      <c r="BE402" s="43">
        <f t="shared" si="350"/>
        <v>153.63680133404779</v>
      </c>
      <c r="BF402" s="41" t="str">
        <f t="shared" si="351"/>
        <v>0,352674880393306+1,58401449878318i</v>
      </c>
      <c r="BG402" s="20">
        <f t="shared" si="352"/>
        <v>4.2053027241599086</v>
      </c>
      <c r="BH402" s="43">
        <f t="shared" si="353"/>
        <v>77.448042928545107</v>
      </c>
      <c r="BI402" s="41" t="str">
        <f t="shared" si="357"/>
        <v>-1,58337423561982+2,49698203973974i</v>
      </c>
      <c r="BJ402" s="20">
        <f t="shared" si="354"/>
        <v>9.4161046815151348</v>
      </c>
      <c r="BK402" s="43">
        <f t="shared" si="358"/>
        <v>122.37940466408863</v>
      </c>
      <c r="BL402">
        <f t="shared" si="355"/>
        <v>4.2053027241599086</v>
      </c>
      <c r="BM402" s="43">
        <f t="shared" si="356"/>
        <v>77.448042928545107</v>
      </c>
    </row>
    <row r="403" spans="14:65" x14ac:dyDescent="0.25">
      <c r="N403" s="9">
        <v>85</v>
      </c>
      <c r="O403" s="34">
        <f t="shared" si="359"/>
        <v>70794.578438413781</v>
      </c>
      <c r="P403" s="33" t="str">
        <f t="shared" ref="P403:P466" si="360">COMPLEX(Adc,0)</f>
        <v>54,631621870174</v>
      </c>
      <c r="Q403" s="4" t="str">
        <f t="shared" ref="Q403:Q466" si="361">IMSUM(COMPLEX(1,0),IMDIV(COMPLEX(0,2*PI()*O403),COMPLEX(wp_lf,0)))</f>
        <v>1+1772,86766083368i</v>
      </c>
      <c r="R403" s="4">
        <f t="shared" si="322"/>
        <v>1772.8679428626049</v>
      </c>
      <c r="S403" s="4">
        <f t="shared" si="323"/>
        <v>1.5702322689602153</v>
      </c>
      <c r="T403" s="4" t="str">
        <f t="shared" ref="T403:T466" si="362">IMSUM(COMPLEX(1,0),IMDIV(COMPLEX(0,2*PI()*O403),COMPLEX(wz_esr,0)))</f>
        <v>1+22,2407727536107i</v>
      </c>
      <c r="U403" s="4">
        <f t="shared" si="324"/>
        <v>22.263242636187393</v>
      </c>
      <c r="V403" s="4">
        <f t="shared" si="325"/>
        <v>1.5258641226480443</v>
      </c>
      <c r="W403" t="str">
        <f t="shared" ref="W403:W466" si="363">IMSUB(COMPLEX(1,0),IMDIV(COMPLEX(0,2*PI()*O403),COMPLEX(wz_rhp,0)))</f>
        <v>1-1,77007141832455i</v>
      </c>
      <c r="X403" s="4">
        <f t="shared" si="326"/>
        <v>2.0330156974232847</v>
      </c>
      <c r="Y403" s="4">
        <f t="shared" si="327"/>
        <v>-1.0565484787117096</v>
      </c>
      <c r="Z403" t="str">
        <f t="shared" ref="Z403:Z466" si="364">IMSUM(COMPLEX(1,0),IMDIV(COMPLEX(0,2*PI()*O403),COMPLEX(Q*(wsl/2),0)),IMDIV(IMPOWER(COMPLEX(0,2*PI()*O403),2),IMPOWER(COMPLEX(wsl/2,0),2)))</f>
        <v>0,979952510654909+0,243193496464715i</v>
      </c>
      <c r="AA403" s="4">
        <f t="shared" si="328"/>
        <v>1.0096781664776122</v>
      </c>
      <c r="AB403" s="4">
        <f t="shared" si="329"/>
        <v>0.24325430291104078</v>
      </c>
      <c r="AC403" s="47" t="str">
        <f t="shared" si="330"/>
        <v>0,310383478389766-1,34606062569588i</v>
      </c>
      <c r="AD403" s="20">
        <f t="shared" si="331"/>
        <v>2.8062778601360372</v>
      </c>
      <c r="AE403" s="43">
        <f t="shared" si="332"/>
        <v>-77.015321114854444</v>
      </c>
      <c r="AF403" t="str">
        <f t="shared" ref="AF403:AF466" si="365">COMPLEX($B$72,0)</f>
        <v>171,265703090588</v>
      </c>
      <c r="AG403" t="str">
        <f t="shared" ref="AG403:AG466" si="366">IMSUM(COMPLEX(1,0),IMDIV(COMPLEX(0,2*PI()*O403),COMPLEX(wp_lf_DCM,0)))</f>
        <v>1+1755,90128640702i</v>
      </c>
      <c r="AH403">
        <f t="shared" si="333"/>
        <v>1755.9015711610452</v>
      </c>
      <c r="AI403">
        <f t="shared" si="334"/>
        <v>1.5702268187595485</v>
      </c>
      <c r="AJ403" t="str">
        <f t="shared" ref="AJ403:AJ466" si="367">IMSUM(COMPLEX(1,0),IMDIV(COMPLEX(0,2*PI()*O403),COMPLEX(wz1_dcm,0)))</f>
        <v>1+22,2407727536107i</v>
      </c>
      <c r="AK403">
        <f t="shared" si="335"/>
        <v>22.263242636187393</v>
      </c>
      <c r="AL403">
        <f t="shared" si="336"/>
        <v>1.5258641226480443</v>
      </c>
      <c r="AM403" t="str">
        <f t="shared" ref="AM403:AM466" si="368">IMSUB(COMPLEX(1,0),IMDIV(COMPLEX(0,2*PI()*O403),COMPLEX(wz2_dcm,0)))</f>
        <v>1-0,559226708635806i</v>
      </c>
      <c r="AN403">
        <f t="shared" si="337"/>
        <v>1.145746268443252</v>
      </c>
      <c r="AO403">
        <f t="shared" si="338"/>
        <v>-0.50989944685349253</v>
      </c>
      <c r="AP403" s="41" t="str">
        <f t="shared" si="339"/>
        <v>2,11550314400631-1,30946447519037i</v>
      </c>
      <c r="AQ403">
        <f t="shared" si="340"/>
        <v>7.9169421064727512</v>
      </c>
      <c r="AR403" s="43">
        <f t="shared" si="341"/>
        <v>-31.756881535770916</v>
      </c>
      <c r="AS403" t="str">
        <f t="shared" ref="AS403:AS466" si="369">COMPLEX(Adc_ea,0)</f>
        <v>-0,0000166666666666667</v>
      </c>
      <c r="AT403" t="str">
        <f t="shared" ref="AT403:AT466" si="370">COMPLEX(0,2*PI()*O403*wp0_ea)</f>
        <v>0,00147411841810932i</v>
      </c>
      <c r="AU403">
        <f t="shared" si="342"/>
        <v>1.4741184181093199E-3</v>
      </c>
      <c r="AV403">
        <f t="shared" si="343"/>
        <v>1.5707963267948966</v>
      </c>
      <c r="AW403" t="str">
        <f t="shared" ref="AW403:AW466" si="371">IMSUM(COMPLEX(1,0),IMDIV(COMPLEX(0,2*PI()*O403),COMPLEX(wp1_ea,0)))</f>
        <v>1+0,496088690991823i</v>
      </c>
      <c r="AX403">
        <f t="shared" si="344"/>
        <v>1.1162902800481513</v>
      </c>
      <c r="AY403">
        <f t="shared" si="345"/>
        <v>0.46051366891509887</v>
      </c>
      <c r="AZ403" t="str">
        <f t="shared" ref="AZ403:AZ466" si="372">IMSUM(COMPLEX(1,0),IMDIV(COMPLEX(0,2*PI()*O403),COMPLEX(wz_ea,0)))</f>
        <v>1+117,431280139064i</v>
      </c>
      <c r="BA403">
        <f t="shared" si="346"/>
        <v>117.43553787120544</v>
      </c>
      <c r="BB403">
        <f t="shared" si="347"/>
        <v>1.5622809139683729</v>
      </c>
      <c r="BC403" s="41" t="str">
        <f t="shared" si="348"/>
        <v>-1,06098030414166+0,537646522792971i</v>
      </c>
      <c r="BD403">
        <f t="shared" si="349"/>
        <v>1.5067755046847595</v>
      </c>
      <c r="BE403" s="43">
        <f t="shared" si="350"/>
        <v>153.12661314730863</v>
      </c>
      <c r="BF403" s="41" t="str">
        <f t="shared" si="351"/>
        <v>0,394394057571401+1,59502040993257i</v>
      </c>
      <c r="BG403" s="20">
        <f t="shared" si="352"/>
        <v>4.3130533648207816</v>
      </c>
      <c r="BH403" s="43">
        <f t="shared" si="353"/>
        <v>76.111292032454145</v>
      </c>
      <c r="BI403" s="41" t="str">
        <f t="shared" si="357"/>
        <v>-1,54047814733343+2,52670892648277i</v>
      </c>
      <c r="BJ403" s="20">
        <f t="shared" si="354"/>
        <v>9.4237176111575174</v>
      </c>
      <c r="BK403" s="43">
        <f t="shared" si="358"/>
        <v>121.36973161153773</v>
      </c>
      <c r="BL403">
        <f t="shared" si="355"/>
        <v>4.3130533648207816</v>
      </c>
      <c r="BM403" s="43">
        <f t="shared" si="356"/>
        <v>76.111292032454145</v>
      </c>
    </row>
    <row r="404" spans="14:65" x14ac:dyDescent="0.25">
      <c r="N404" s="9">
        <v>86</v>
      </c>
      <c r="O404" s="34">
        <f t="shared" si="359"/>
        <v>72443.596007499116</v>
      </c>
      <c r="P404" s="33" t="str">
        <f t="shared" si="360"/>
        <v>54,631621870174</v>
      </c>
      <c r="Q404" s="4" t="str">
        <f t="shared" si="361"/>
        <v>1+1814,16305357228i</v>
      </c>
      <c r="R404" s="4">
        <f t="shared" ref="R404:R467" si="373">IMABS(Q404)</f>
        <v>1814.1633291814439</v>
      </c>
      <c r="S404" s="4">
        <f t="shared" ref="S404:S467" si="374">IMARGUMENT(Q404)</f>
        <v>1.5702451084814433</v>
      </c>
      <c r="T404" s="4" t="str">
        <f t="shared" si="362"/>
        <v>1+22,7588269016786i</v>
      </c>
      <c r="U404" s="4">
        <f t="shared" ref="U404:U467" si="375">IMABS(T404)</f>
        <v>22.780785806037716</v>
      </c>
      <c r="V404" s="4">
        <f t="shared" ref="V404:V467" si="376">IMARGUMENT(T404)</f>
        <v>1.5268855749954433</v>
      </c>
      <c r="W404" t="str">
        <f t="shared" si="363"/>
        <v>1-1,81130167820797i</v>
      </c>
      <c r="X404" s="4">
        <f t="shared" ref="X404:X467" si="377">IMABS(W404)</f>
        <v>2.0690127523722537</v>
      </c>
      <c r="Y404" s="4">
        <f t="shared" ref="Y404:Y467" si="378">IMARGUMENT(W404)</f>
        <v>-1.0663505786812071</v>
      </c>
      <c r="Z404" t="str">
        <f t="shared" si="364"/>
        <v>0,979007701590009+0,248858200700598i</v>
      </c>
      <c r="AA404" s="4">
        <f t="shared" ref="AA404:AA467" si="379">IMABS(Z404)</f>
        <v>1.0101418137214651</v>
      </c>
      <c r="AB404" s="4">
        <f t="shared" ref="AB404:AB467" si="380">IMARGUMENT(Z404)</f>
        <v>0.24892234950916603</v>
      </c>
      <c r="AC404" s="47" t="str">
        <f t="shared" ref="AC404:AC467" si="381">(IMDIV(IMPRODUCT(P404,T404,W404),IMPRODUCT(Q404,Z404)))</f>
        <v>0,295886778120136-1,37362582438123i</v>
      </c>
      <c r="AD404" s="20">
        <f t="shared" ref="AD404:AD467" si="382">20*LOG(IMABS(AC404))</f>
        <v>2.9543445846051171</v>
      </c>
      <c r="AE404" s="43">
        <f t="shared" ref="AE404:AE467" si="383">(180/PI())*IMARGUMENT(AC404)</f>
        <v>-77.843905963525714</v>
      </c>
      <c r="AF404" t="str">
        <f t="shared" si="365"/>
        <v>171,265703090588</v>
      </c>
      <c r="AG404" t="str">
        <f t="shared" si="366"/>
        <v>1+1796,80148151707i</v>
      </c>
      <c r="AH404">
        <f t="shared" ref="AH404:AH467" si="384">IMABS(AG404)</f>
        <v>1796.8017597893031</v>
      </c>
      <c r="AI404">
        <f t="shared" ref="AI404:AI467" si="385">IMARGUMENT(AG404)</f>
        <v>1.570239782342413</v>
      </c>
      <c r="AJ404" t="str">
        <f t="shared" si="367"/>
        <v>1+22,7588269016786i</v>
      </c>
      <c r="AK404">
        <f t="shared" ref="AK404:AK467" si="386">IMABS(AJ404)</f>
        <v>22.780785806037716</v>
      </c>
      <c r="AL404">
        <f t="shared" ref="AL404:AL467" si="387">IMARGUMENT(AJ404)</f>
        <v>1.5268855749954433</v>
      </c>
      <c r="AM404" t="str">
        <f t="shared" si="368"/>
        <v>1-0,572252772043252i</v>
      </c>
      <c r="AN404">
        <f t="shared" ref="AN404:AN467" si="388">IMABS(AM404)</f>
        <v>1.1521602471493217</v>
      </c>
      <c r="AO404">
        <f t="shared" ref="AO404:AO467" si="389">IMARGUMENT(AM404)</f>
        <v>-0.5197672141145413</v>
      </c>
      <c r="AP404" s="41" t="str">
        <f t="shared" ref="AP404:AP467" si="390">(IMDIV(IMPRODUCT(AF404,AJ404,AM404),IMPRODUCT(AG404)))</f>
        <v>2,11550067480643-1,33552915910167i</v>
      </c>
      <c r="AQ404">
        <f t="shared" ref="AQ404:AQ467" si="391">20*LOG(IMABS(AP404))</f>
        <v>7.965036498417418</v>
      </c>
      <c r="AR404" s="43">
        <f t="shared" ref="AR404:AR467" si="392">(180/PI())*IMARGUMENT(AP404)</f>
        <v>-32.264480803152175</v>
      </c>
      <c r="AS404" t="str">
        <f t="shared" si="369"/>
        <v>-0,0000166666666666667</v>
      </c>
      <c r="AT404" t="str">
        <f t="shared" si="370"/>
        <v>0,00150845504704326i</v>
      </c>
      <c r="AU404">
        <f t="shared" ref="AU404:AU467" si="393">IMABS(AT404)</f>
        <v>1.50845504704326E-3</v>
      </c>
      <c r="AV404">
        <f t="shared" ref="AV404:AV467" si="394">IMARGUMENT(AT404)</f>
        <v>1.5707963267948966</v>
      </c>
      <c r="AW404" t="str">
        <f t="shared" si="371"/>
        <v>1+0,507644081041666i</v>
      </c>
      <c r="AX404">
        <f t="shared" ref="AX404:AX467" si="395">IMABS(AW404)</f>
        <v>1.1214733670563193</v>
      </c>
      <c r="AY404">
        <f t="shared" ref="AY404:AY467" si="396">IMARGUMENT(AW404)</f>
        <v>0.46974415706710676</v>
      </c>
      <c r="AZ404" t="str">
        <f t="shared" si="372"/>
        <v>1+120,166606040863i</v>
      </c>
      <c r="BA404">
        <f t="shared" ref="BA404:BA467" si="397">IMABS(AZ404)</f>
        <v>120.17076685858326</v>
      </c>
      <c r="BB404">
        <f t="shared" ref="BB404:BB467" si="398">IMARGUMENT(AZ404)</f>
        <v>1.5624747393763891</v>
      </c>
      <c r="BC404" s="41" t="str">
        <f t="shared" ref="BC404:BC467" si="399">IMPRODUCT(AS404,IMDIV(AZ404,IMPRODUCT(AT404,AW404)))</f>
        <v>-1,05119595127498+0,544682234860246i</v>
      </c>
      <c r="BD404">
        <f t="shared" ref="BD404:BD467" si="400">20*LOG(IMABS(BC404))</f>
        <v>1.466524908502095</v>
      </c>
      <c r="BE404" s="43">
        <f t="shared" ref="BE404:BE467" si="401">(180/PI())*IMARGUMENT(BC404)</f>
        <v>152.60885051119467</v>
      </c>
      <c r="BF404" s="41" t="str">
        <f t="shared" ref="BF404:BF467" si="402">IMPRODUCT(AC404,BC404)</f>
        <v>0,437154600690031+1,60511417672838i</v>
      </c>
      <c r="BG404" s="20">
        <f t="shared" ref="BG404:BG467" si="403">20*LOG(IMABS(BF404))</f>
        <v>4.4208694931072197</v>
      </c>
      <c r="BH404" s="43">
        <f t="shared" ref="BH404:BH467" si="404">(180/PI())*IMARGUMENT(BF404)</f>
        <v>74.764944547668975</v>
      </c>
      <c r="BI404" s="41" t="str">
        <f t="shared" si="357"/>
        <v>-1,49636673717548+2,55617848025928i</v>
      </c>
      <c r="BJ404" s="20">
        <f t="shared" ref="BJ404:BJ467" si="405">20*LOG(IMABS(BI404))</f>
        <v>9.4315614069195117</v>
      </c>
      <c r="BK404" s="43">
        <f t="shared" si="358"/>
        <v>120.34436970804241</v>
      </c>
      <c r="BL404">
        <f t="shared" ref="BL404:BL467" si="406">IF($B$31=0,BJ404,BG404)</f>
        <v>4.4208694931072197</v>
      </c>
      <c r="BM404" s="43">
        <f t="shared" ref="BM404:BM467" si="407">IF($B$31=0,BK404,BH404)</f>
        <v>74.764944547668975</v>
      </c>
    </row>
    <row r="405" spans="14:65" x14ac:dyDescent="0.25">
      <c r="N405" s="9">
        <v>87</v>
      </c>
      <c r="O405" s="34">
        <f t="shared" si="359"/>
        <v>74131.024130091857</v>
      </c>
      <c r="P405" s="33" t="str">
        <f t="shared" si="360"/>
        <v>54,631621870174</v>
      </c>
      <c r="Q405" s="4" t="str">
        <f t="shared" si="361"/>
        <v>1+1856,42033957517i</v>
      </c>
      <c r="R405" s="4">
        <f t="shared" si="373"/>
        <v>1856.4206089107042</v>
      </c>
      <c r="S405" s="4">
        <f t="shared" si="374"/>
        <v>1.5702576557396621</v>
      </c>
      <c r="T405" s="4" t="str">
        <f t="shared" si="362"/>
        <v>1+23,2889480810185i</v>
      </c>
      <c r="U405" s="4">
        <f t="shared" si="375"/>
        <v>23.310407605195909</v>
      </c>
      <c r="V405" s="4">
        <f t="shared" si="376"/>
        <v>1.5278838648541417</v>
      </c>
      <c r="W405" t="str">
        <f t="shared" si="363"/>
        <v>1-1,85349231421659i</v>
      </c>
      <c r="X405" s="4">
        <f t="shared" si="377"/>
        <v>2.1060469507729334</v>
      </c>
      <c r="Y405" s="4">
        <f t="shared" si="378"/>
        <v>-1.0760331709016242</v>
      </c>
      <c r="Z405" t="str">
        <f t="shared" si="364"/>
        <v>0,978018365045695+0,254654852848519i</v>
      </c>
      <c r="AA405" s="4">
        <f t="shared" si="379"/>
        <v>1.0106280307046482</v>
      </c>
      <c r="AB405" s="4">
        <f t="shared" si="380"/>
        <v>0.25472246170948198</v>
      </c>
      <c r="AC405" s="47" t="str">
        <f t="shared" si="381"/>
        <v>0,280734905869692-1,40169664771255i</v>
      </c>
      <c r="AD405" s="20">
        <f t="shared" si="382"/>
        <v>3.1038857911328992</v>
      </c>
      <c r="AE405" s="43">
        <f t="shared" si="383"/>
        <v>-78.674520691588597</v>
      </c>
      <c r="AF405" t="str">
        <f t="shared" si="365"/>
        <v>171,265703090588</v>
      </c>
      <c r="AG405" t="str">
        <f t="shared" si="366"/>
        <v>1+1838,6543645561i</v>
      </c>
      <c r="AH405">
        <f t="shared" si="384"/>
        <v>1838.654636494085</v>
      </c>
      <c r="AI405">
        <f t="shared" si="385"/>
        <v>1.5702524508382858</v>
      </c>
      <c r="AJ405" t="str">
        <f t="shared" si="367"/>
        <v>1+23,2889480810185i</v>
      </c>
      <c r="AK405">
        <f t="shared" si="386"/>
        <v>23.310407605195909</v>
      </c>
      <c r="AL405">
        <f t="shared" si="387"/>
        <v>1.5278838648541417</v>
      </c>
      <c r="AM405" t="str">
        <f t="shared" si="368"/>
        <v>1-0,585582251445097i</v>
      </c>
      <c r="AN405">
        <f t="shared" si="388"/>
        <v>1.1588384586332594</v>
      </c>
      <c r="AO405">
        <f t="shared" si="389"/>
        <v>-0.52975075534393656</v>
      </c>
      <c r="AP405" s="41" t="str">
        <f t="shared" si="390"/>
        <v>2,11549831673878-1,36230195812722i</v>
      </c>
      <c r="AQ405">
        <f t="shared" si="391"/>
        <v>8.0148601599535159</v>
      </c>
      <c r="AR405" s="43">
        <f t="shared" si="392"/>
        <v>-32.780023635903689</v>
      </c>
      <c r="AS405" t="str">
        <f t="shared" si="369"/>
        <v>-0,0000166666666666667</v>
      </c>
      <c r="AT405" t="str">
        <f t="shared" si="370"/>
        <v>0,0015435914788099i</v>
      </c>
      <c r="AU405">
        <f t="shared" si="393"/>
        <v>1.5435914788098999E-3</v>
      </c>
      <c r="AV405">
        <f t="shared" si="394"/>
        <v>1.5707963267948966</v>
      </c>
      <c r="AW405" t="str">
        <f t="shared" si="371"/>
        <v>1+0,519468630702741i</v>
      </c>
      <c r="AX405">
        <f t="shared" si="395"/>
        <v>1.1268751742248033</v>
      </c>
      <c r="AY405">
        <f t="shared" si="396"/>
        <v>0.47910093174052559</v>
      </c>
      <c r="AZ405" t="str">
        <f t="shared" si="372"/>
        <v>1+122,965645867777i</v>
      </c>
      <c r="BA405">
        <f t="shared" si="397"/>
        <v>122.96971197689103</v>
      </c>
      <c r="BB405">
        <f t="shared" si="398"/>
        <v>1.5626641533836609</v>
      </c>
      <c r="BC405" s="41" t="str">
        <f t="shared" si="399"/>
        <v>-1,04114204642301+0,551637963277328i</v>
      </c>
      <c r="BD405">
        <f t="shared" si="400"/>
        <v>1.424774435666716</v>
      </c>
      <c r="BE405" s="43">
        <f t="shared" si="401"/>
        <v>152.08359943575019</v>
      </c>
      <c r="BF405" s="41" t="str">
        <f t="shared" si="402"/>
        <v>0,480944169477267+1,61422934795853i</v>
      </c>
      <c r="BG405" s="20">
        <f t="shared" si="403"/>
        <v>4.5286602267996336</v>
      </c>
      <c r="BH405" s="43">
        <f t="shared" si="404"/>
        <v>73.409078744161633</v>
      </c>
      <c r="BI405" s="41" t="str">
        <f t="shared" si="357"/>
        <v>-1,45103676914383+2,58533903129304i</v>
      </c>
      <c r="BJ405" s="20">
        <f t="shared" si="405"/>
        <v>9.4396345956202214</v>
      </c>
      <c r="BK405" s="43">
        <f t="shared" si="358"/>
        <v>119.30357579984653</v>
      </c>
      <c r="BL405">
        <f t="shared" si="406"/>
        <v>4.5286602267996336</v>
      </c>
      <c r="BM405" s="43">
        <f t="shared" si="407"/>
        <v>73.409078744161633</v>
      </c>
    </row>
    <row r="406" spans="14:65" x14ac:dyDescent="0.25">
      <c r="N406" s="9">
        <v>88</v>
      </c>
      <c r="O406" s="34">
        <f t="shared" si="359"/>
        <v>75857.757502918481</v>
      </c>
      <c r="P406" s="33" t="str">
        <f t="shared" si="360"/>
        <v>54,631621870174</v>
      </c>
      <c r="Q406" s="4" t="str">
        <f t="shared" si="361"/>
        <v>1+1899,66192421473i</v>
      </c>
      <c r="R406" s="4">
        <f t="shared" si="373"/>
        <v>1899.6621874194398</v>
      </c>
      <c r="S406" s="4">
        <f t="shared" si="374"/>
        <v>1.5702699173875783</v>
      </c>
      <c r="T406" s="4" t="str">
        <f t="shared" si="362"/>
        <v>1+23,8314173688964i</v>
      </c>
      <c r="U406" s="4">
        <f t="shared" si="375"/>
        <v>23.852388849139135</v>
      </c>
      <c r="V406" s="4">
        <f t="shared" si="376"/>
        <v>1.5288595135670766</v>
      </c>
      <c r="W406" t="str">
        <f t="shared" si="363"/>
        <v>1-1,89666569638407i</v>
      </c>
      <c r="X406" s="4">
        <f t="shared" si="377"/>
        <v>2.1441410317047871</v>
      </c>
      <c r="Y406" s="4">
        <f t="shared" si="378"/>
        <v>-1.0855941263000224</v>
      </c>
      <c r="Z406" t="str">
        <f t="shared" si="364"/>
        <v>0,976982402506514+0,260586526370176i</v>
      </c>
      <c r="AA406" s="4">
        <f t="shared" si="379"/>
        <v>1.0111379493091308</v>
      </c>
      <c r="AB406" s="4">
        <f t="shared" si="380"/>
        <v>0.26065770683824663</v>
      </c>
      <c r="AC406" s="47" t="str">
        <f t="shared" si="381"/>
        <v>0,26489968402984-1,43027238381906i</v>
      </c>
      <c r="AD406" s="20">
        <f t="shared" si="382"/>
        <v>3.2548506761731737</v>
      </c>
      <c r="AE406" s="43">
        <f t="shared" si="383"/>
        <v>-79.507189567420426</v>
      </c>
      <c r="AF406" t="str">
        <f t="shared" si="365"/>
        <v>171,265703090588</v>
      </c>
      <c r="AG406" t="str">
        <f t="shared" si="366"/>
        <v>1+1881,48212647667i</v>
      </c>
      <c r="AH406">
        <f t="shared" si="384"/>
        <v>1881.4823922245914</v>
      </c>
      <c r="AI406">
        <f t="shared" si="385"/>
        <v>1.5702648309641549</v>
      </c>
      <c r="AJ406" t="str">
        <f t="shared" si="367"/>
        <v>1+23,8314173688964i</v>
      </c>
      <c r="AK406">
        <f t="shared" si="386"/>
        <v>23.852388849139135</v>
      </c>
      <c r="AL406">
        <f t="shared" si="387"/>
        <v>1.5288595135670766</v>
      </c>
      <c r="AM406" t="str">
        <f t="shared" si="368"/>
        <v>1-0,599222214307753i</v>
      </c>
      <c r="AN406">
        <f t="shared" si="388"/>
        <v>1.1657904023107613</v>
      </c>
      <c r="AO406">
        <f t="shared" si="389"/>
        <v>-0.53984740277871801</v>
      </c>
      <c r="AP406" s="41" t="str">
        <f t="shared" si="390"/>
        <v>2,1154960648016-1,38979706756768i</v>
      </c>
      <c r="AQ406">
        <f t="shared" si="391"/>
        <v>8.0664519945158268</v>
      </c>
      <c r="AR406" s="43">
        <f t="shared" si="392"/>
        <v>-33.303327696571813</v>
      </c>
      <c r="AS406" t="str">
        <f t="shared" si="369"/>
        <v>-0,0000166666666666667</v>
      </c>
      <c r="AT406" t="str">
        <f t="shared" si="370"/>
        <v>0,00157954634321046i</v>
      </c>
      <c r="AU406">
        <f t="shared" si="393"/>
        <v>1.5795463432104601E-3</v>
      </c>
      <c r="AV406">
        <f t="shared" si="394"/>
        <v>1.5707963267948966</v>
      </c>
      <c r="AW406" t="str">
        <f t="shared" si="371"/>
        <v>1+0,531568609507793i</v>
      </c>
      <c r="AX406">
        <f t="shared" si="395"/>
        <v>1.1325039455180934</v>
      </c>
      <c r="AY406">
        <f t="shared" si="396"/>
        <v>0.48858239969864542</v>
      </c>
      <c r="AZ406" t="str">
        <f t="shared" si="372"/>
        <v>1+125,829883707773i</v>
      </c>
      <c r="BA406">
        <f t="shared" si="397"/>
        <v>125.83385726390047</v>
      </c>
      <c r="BB406">
        <f t="shared" si="398"/>
        <v>1.5628492563656051</v>
      </c>
      <c r="BC406" s="41" t="str">
        <f t="shared" si="399"/>
        <v>-1,03081839690485+0,55850225471437i</v>
      </c>
      <c r="BD406">
        <f t="shared" si="400"/>
        <v>1.3814832592307367</v>
      </c>
      <c r="BE406" s="43">
        <f t="shared" si="401"/>
        <v>151.55095695780224</v>
      </c>
      <c r="BF406" s="41" t="str">
        <f t="shared" si="402"/>
        <v>0,525746883586401+1,62229815662943i</v>
      </c>
      <c r="BG406" s="20">
        <f t="shared" si="403"/>
        <v>4.6363339354039015</v>
      </c>
      <c r="BH406" s="43">
        <f t="shared" si="404"/>
        <v>72.043767390381802</v>
      </c>
      <c r="BI406" s="41" t="str">
        <f t="shared" si="357"/>
        <v>-1,40448746634534+2,61413770724425i</v>
      </c>
      <c r="BJ406" s="20">
        <f t="shared" si="405"/>
        <v>9.4479352537465768</v>
      </c>
      <c r="BK406" s="43">
        <f t="shared" si="358"/>
        <v>118.2476292612305</v>
      </c>
      <c r="BL406">
        <f t="shared" si="406"/>
        <v>4.6363339354039015</v>
      </c>
      <c r="BM406" s="43">
        <f t="shared" si="407"/>
        <v>72.043767390381802</v>
      </c>
    </row>
    <row r="407" spans="14:65" x14ac:dyDescent="0.25">
      <c r="N407" s="9">
        <v>89</v>
      </c>
      <c r="O407" s="34">
        <f t="shared" si="359"/>
        <v>77624.711662869129</v>
      </c>
      <c r="P407" s="33" t="str">
        <f t="shared" si="360"/>
        <v>54,631621870174</v>
      </c>
      <c r="Q407" s="4" t="str">
        <f t="shared" si="361"/>
        <v>1+1943,9107347515i</v>
      </c>
      <c r="R407" s="4">
        <f t="shared" si="373"/>
        <v>1943.91099196494</v>
      </c>
      <c r="S407" s="4">
        <f t="shared" si="374"/>
        <v>1.5702818999264652</v>
      </c>
      <c r="T407" s="4" t="str">
        <f t="shared" si="362"/>
        <v>1+24,3865223897096i</v>
      </c>
      <c r="U407" s="4">
        <f t="shared" si="375"/>
        <v>24.407016906287577</v>
      </c>
      <c r="V407" s="4">
        <f t="shared" si="376"/>
        <v>1.5298130310021922</v>
      </c>
      <c r="W407" t="str">
        <f t="shared" si="363"/>
        <v>1-1,94084471580911i</v>
      </c>
      <c r="X407" s="4">
        <f t="shared" si="377"/>
        <v>2.1833181652897373</v>
      </c>
      <c r="Y407" s="4">
        <f t="shared" si="378"/>
        <v>-1.0950315215233233</v>
      </c>
      <c r="Z407" t="str">
        <f t="shared" si="364"/>
        <v>0,975897616557026+0,266656366317385i</v>
      </c>
      <c r="AA407" s="4">
        <f t="shared" si="379"/>
        <v>1.0116727611729375</v>
      </c>
      <c r="AB407" s="4">
        <f t="shared" si="380"/>
        <v>0.26673122164196966</v>
      </c>
      <c r="AC407" s="47" t="str">
        <f t="shared" si="381"/>
        <v>0,248351868222935-1,45935151526791i</v>
      </c>
      <c r="AD407" s="20">
        <f t="shared" si="382"/>
        <v>3.4071878279574945</v>
      </c>
      <c r="AE407" s="43">
        <f t="shared" si="383"/>
        <v>-80.341953272557774</v>
      </c>
      <c r="AF407" t="str">
        <f t="shared" si="365"/>
        <v>171,265703090588</v>
      </c>
      <c r="AG407" t="str">
        <f t="shared" si="366"/>
        <v>1+1925,30747512507i</v>
      </c>
      <c r="AH407">
        <f t="shared" si="384"/>
        <v>1925.3077348238312</v>
      </c>
      <c r="AI407">
        <f t="shared" si="385"/>
        <v>1.5702769292841119</v>
      </c>
      <c r="AJ407" t="str">
        <f t="shared" si="367"/>
        <v>1+24,3865223897096i</v>
      </c>
      <c r="AK407">
        <f t="shared" si="386"/>
        <v>24.407016906287577</v>
      </c>
      <c r="AL407">
        <f t="shared" si="387"/>
        <v>1.5298130310021922</v>
      </c>
      <c r="AM407" t="str">
        <f t="shared" si="368"/>
        <v>1-0,613179892720079i</v>
      </c>
      <c r="AN407">
        <f t="shared" si="388"/>
        <v>1.1730258227491019</v>
      </c>
      <c r="AO407">
        <f t="shared" si="389"/>
        <v>-0.55005427506012372</v>
      </c>
      <c r="AP407" s="41" t="str">
        <f t="shared" si="390"/>
        <v>2,11549391421824-1,41802906570174i</v>
      </c>
      <c r="AQ407">
        <f t="shared" si="391"/>
        <v>8.1198504173560497</v>
      </c>
      <c r="AR407" s="43">
        <f t="shared" si="392"/>
        <v>-33.834199058273825</v>
      </c>
      <c r="AS407" t="str">
        <f t="shared" si="369"/>
        <v>-0,0000166666666666667</v>
      </c>
      <c r="AT407" t="str">
        <f t="shared" si="370"/>
        <v>0,00161633870398995i</v>
      </c>
      <c r="AU407">
        <f t="shared" si="393"/>
        <v>1.61633870398995E-3</v>
      </c>
      <c r="AV407">
        <f t="shared" si="394"/>
        <v>1.5707963267948966</v>
      </c>
      <c r="AW407" t="str">
        <f t="shared" si="371"/>
        <v>1+0,543950433025748i</v>
      </c>
      <c r="AX407">
        <f t="shared" si="395"/>
        <v>1.1383681625857685</v>
      </c>
      <c r="AY407">
        <f t="shared" si="396"/>
        <v>0.49818676835227399</v>
      </c>
      <c r="AZ407" t="str">
        <f t="shared" si="372"/>
        <v>1+128,760838217666i</v>
      </c>
      <c r="BA407">
        <f t="shared" si="397"/>
        <v>128.76472132737271</v>
      </c>
      <c r="BB407">
        <f t="shared" si="398"/>
        <v>1.5630301464155059</v>
      </c>
      <c r="BC407" s="41" t="str">
        <f t="shared" si="399"/>
        <v>-1,02022538665881+0,565263411008193i</v>
      </c>
      <c r="BD407">
        <f t="shared" si="400"/>
        <v>1.3366105676235023</v>
      </c>
      <c r="BE407" s="43">
        <f t="shared" si="401"/>
        <v>151.01103140547664</v>
      </c>
      <c r="BF407" s="41" t="str">
        <f t="shared" si="402"/>
        <v>0,571543134595132+1,62925168809728i</v>
      </c>
      <c r="BG407" s="20">
        <f t="shared" si="403"/>
        <v>4.7437983955810106</v>
      </c>
      <c r="BH407" s="43">
        <f t="shared" si="404"/>
        <v>70.669078132918926</v>
      </c>
      <c r="BI407" s="41" t="str">
        <f t="shared" si="357"/>
        <v>-1,35672065002034+2,64252055776706i</v>
      </c>
      <c r="BJ407" s="20">
        <f t="shared" si="405"/>
        <v>9.4564609849795431</v>
      </c>
      <c r="BK407" s="43">
        <f t="shared" si="358"/>
        <v>117.17683234720295</v>
      </c>
      <c r="BL407">
        <f t="shared" si="406"/>
        <v>4.7437983955810106</v>
      </c>
      <c r="BM407" s="43">
        <f t="shared" si="407"/>
        <v>70.669078132918926</v>
      </c>
    </row>
    <row r="408" spans="14:65" x14ac:dyDescent="0.25">
      <c r="N408" s="9">
        <v>90</v>
      </c>
      <c r="O408" s="34">
        <f t="shared" si="359"/>
        <v>79432.823472428237</v>
      </c>
      <c r="P408" s="33" t="str">
        <f t="shared" si="360"/>
        <v>54,631621870174</v>
      </c>
      <c r="Q408" s="4" t="str">
        <f t="shared" si="361"/>
        <v>1+1989,19023249054i</v>
      </c>
      <c r="R408" s="4">
        <f t="shared" si="373"/>
        <v>1989.1904838490882</v>
      </c>
      <c r="S408" s="4">
        <f t="shared" si="374"/>
        <v>1.5702936097096099</v>
      </c>
      <c r="T408" s="4" t="str">
        <f t="shared" si="362"/>
        <v>1+24,9545574674876i</v>
      </c>
      <c r="U408" s="4">
        <f t="shared" si="375"/>
        <v>24.974585850382809</v>
      </c>
      <c r="V408" s="4">
        <f t="shared" si="376"/>
        <v>1.5307449157876307</v>
      </c>
      <c r="W408" t="str">
        <f t="shared" si="363"/>
        <v>1-1,9860527967926i</v>
      </c>
      <c r="X408" s="4">
        <f t="shared" si="377"/>
        <v>2.2236019678997652</v>
      </c>
      <c r="Y408" s="4">
        <f t="shared" si="378"/>
        <v>-1.1043436352463183</v>
      </c>
      <c r="Z408" t="str">
        <f t="shared" si="364"/>
        <v>0,974761706220792+0,27286759099963i</v>
      </c>
      <c r="AA408" s="4">
        <f t="shared" si="379"/>
        <v>1.0122337211002264</v>
      </c>
      <c r="AB408" s="4">
        <f t="shared" si="380"/>
        <v>0.27294621359636317</v>
      </c>
      <c r="AC408" s="47" t="str">
        <f t="shared" si="381"/>
        <v>0,231061122163248-1,48893164691184i</v>
      </c>
      <c r="AD408" s="20">
        <f t="shared" si="382"/>
        <v>3.5608452915985076</v>
      </c>
      <c r="AE408" s="43">
        <f t="shared" si="383"/>
        <v>-81.178868751880998</v>
      </c>
      <c r="AF408" t="str">
        <f t="shared" si="365"/>
        <v>171,265703090588</v>
      </c>
      <c r="AG408" t="str">
        <f t="shared" si="366"/>
        <v>1+1970,15364728124i</v>
      </c>
      <c r="AH408">
        <f t="shared" si="384"/>
        <v>1970.1539010685367</v>
      </c>
      <c r="AI408">
        <f t="shared" si="385"/>
        <v>1.5702887522128315</v>
      </c>
      <c r="AJ408" t="str">
        <f t="shared" si="367"/>
        <v>1+24,9545574674876i</v>
      </c>
      <c r="AK408">
        <f t="shared" si="386"/>
        <v>24.974585850382809</v>
      </c>
      <c r="AL408">
        <f t="shared" si="387"/>
        <v>1.5307449157876307</v>
      </c>
      <c r="AM408" t="str">
        <f t="shared" si="368"/>
        <v>1-0,627462687227923i</v>
      </c>
      <c r="AN408">
        <f t="shared" si="388"/>
        <v>1.18055471023722</v>
      </c>
      <c r="AO408">
        <f t="shared" si="389"/>
        <v>-0.5603682767170759</v>
      </c>
      <c r="AP408" s="41" t="str">
        <f t="shared" si="390"/>
        <v>2,11549186042702-1,4470129215157i</v>
      </c>
      <c r="AQ408">
        <f t="shared" si="391"/>
        <v>8.1750932454184664</v>
      </c>
      <c r="AR408" s="43">
        <f t="shared" si="392"/>
        <v>-34.372432161827163</v>
      </c>
      <c r="AS408" t="str">
        <f t="shared" si="369"/>
        <v>-0,0000166666666666667</v>
      </c>
      <c r="AT408" t="str">
        <f t="shared" si="370"/>
        <v>0,00165398806894507i</v>
      </c>
      <c r="AU408">
        <f t="shared" si="393"/>
        <v>1.65398806894507E-3</v>
      </c>
      <c r="AV408">
        <f t="shared" si="394"/>
        <v>1.5707963267948966</v>
      </c>
      <c r="AW408" t="str">
        <f t="shared" si="371"/>
        <v>1+0,556620666263331i</v>
      </c>
      <c r="AX408">
        <f t="shared" si="395"/>
        <v>1.144476546772119</v>
      </c>
      <c r="AY408">
        <f t="shared" si="396"/>
        <v>0.50791204170807047</v>
      </c>
      <c r="AZ408" t="str">
        <f t="shared" si="372"/>
        <v>1+131,760063428334i</v>
      </c>
      <c r="BA408">
        <f t="shared" si="397"/>
        <v>131.76385815024773</v>
      </c>
      <c r="BB408">
        <f t="shared" si="398"/>
        <v>1.5632069193962836</v>
      </c>
      <c r="BC408" s="41" t="str">
        <f t="shared" si="399"/>
        <v>-1,00936400573737+0,571909520086636i</v>
      </c>
      <c r="BD408">
        <f t="shared" si="400"/>
        <v>1.2901156540710494</v>
      </c>
      <c r="BE408" s="43">
        <f t="shared" si="401"/>
        <v>150.46394263330896</v>
      </c>
      <c r="BF408" s="41" t="str">
        <f t="shared" si="402"/>
        <v>0,618309403790287+1,63502006688314i</v>
      </c>
      <c r="BG408" s="20">
        <f t="shared" si="403"/>
        <v>4.8509609456695699</v>
      </c>
      <c r="BH408" s="43">
        <f t="shared" si="404"/>
        <v>69.285073881428019</v>
      </c>
      <c r="BI408" s="41" t="str">
        <f t="shared" si="357"/>
        <v>-1,30774087284221+2,67043269345882i</v>
      </c>
      <c r="BJ408" s="20">
        <f t="shared" si="405"/>
        <v>9.4652088994895038</v>
      </c>
      <c r="BK408" s="43">
        <f t="shared" si="358"/>
        <v>116.09151047148178</v>
      </c>
      <c r="BL408">
        <f t="shared" si="406"/>
        <v>4.8509609456695699</v>
      </c>
      <c r="BM408" s="43">
        <f t="shared" si="407"/>
        <v>69.285073881428019</v>
      </c>
    </row>
    <row r="409" spans="14:65" x14ac:dyDescent="0.25">
      <c r="N409" s="9">
        <v>91</v>
      </c>
      <c r="O409" s="34">
        <f t="shared" si="359"/>
        <v>81283.051616410012</v>
      </c>
      <c r="P409" s="33" t="str">
        <f t="shared" si="360"/>
        <v>54,631621870174</v>
      </c>
      <c r="Q409" s="4" t="str">
        <f t="shared" si="361"/>
        <v>1+2035,5244252209i</v>
      </c>
      <c r="R409" s="4">
        <f t="shared" si="373"/>
        <v>2035.5246708578293</v>
      </c>
      <c r="S409" s="4">
        <f t="shared" si="374"/>
        <v>1.5703050529456812</v>
      </c>
      <c r="T409" s="4" t="str">
        <f t="shared" si="362"/>
        <v>1+25,5358237819474i</v>
      </c>
      <c r="U409" s="4">
        <f t="shared" si="375"/>
        <v>25.555396616422733</v>
      </c>
      <c r="V409" s="4">
        <f t="shared" si="376"/>
        <v>1.5316556555432901</v>
      </c>
      <c r="W409" t="str">
        <f t="shared" si="363"/>
        <v>1-2,03231390925746i</v>
      </c>
      <c r="X409" s="4">
        <f t="shared" si="377"/>
        <v>2.2650165177678816</v>
      </c>
      <c r="Y409" s="4">
        <f t="shared" si="378"/>
        <v>-1.1135289439318592</v>
      </c>
      <c r="Z409" t="str">
        <f t="shared" si="364"/>
        <v>0,973572262079696+0,279223493690452i</v>
      </c>
      <c r="AA409" s="4">
        <f t="shared" si="379"/>
        <v>1.0128221506857353</v>
      </c>
      <c r="AB409" s="4">
        <f t="shared" si="380"/>
        <v>0.27930596220503234</v>
      </c>
      <c r="AC409" s="47" t="str">
        <f t="shared" si="381"/>
        <v>0,212995993736128-1,51900942887291i</v>
      </c>
      <c r="AD409" s="20">
        <f t="shared" si="382"/>
        <v>3.715770628390942</v>
      </c>
      <c r="AE409" s="43">
        <f t="shared" si="383"/>
        <v>-82.018009032024906</v>
      </c>
      <c r="AF409" t="str">
        <f t="shared" si="365"/>
        <v>171,265703090588</v>
      </c>
      <c r="AG409" t="str">
        <f t="shared" si="366"/>
        <v>1+2016,04442097926i</v>
      </c>
      <c r="AH409">
        <f t="shared" si="384"/>
        <v>2016.044668989653</v>
      </c>
      <c r="AI409">
        <f t="shared" si="385"/>
        <v>1.5703003060189744</v>
      </c>
      <c r="AJ409" t="str">
        <f t="shared" si="367"/>
        <v>1+25,5358237819474i</v>
      </c>
      <c r="AK409">
        <f t="shared" si="386"/>
        <v>25.555396616422733</v>
      </c>
      <c r="AL409">
        <f t="shared" si="387"/>
        <v>1.5316556555432901</v>
      </c>
      <c r="AM409" t="str">
        <f t="shared" si="368"/>
        <v>1-0,642078170757983i</v>
      </c>
      <c r="AN409">
        <f t="shared" si="388"/>
        <v>1.1883873010781956</v>
      </c>
      <c r="AO409">
        <f t="shared" si="389"/>
        <v>-0.57078609848232864</v>
      </c>
      <c r="AP409" s="41" t="str">
        <f t="shared" si="390"/>
        <v>2,11548989907158-1,47676400264026i</v>
      </c>
      <c r="AQ409">
        <f t="shared" si="391"/>
        <v>8.2322175849052588</v>
      </c>
      <c r="AR409" s="43">
        <f t="shared" si="392"/>
        <v>-34.91780982079095</v>
      </c>
      <c r="AS409" t="str">
        <f t="shared" si="369"/>
        <v>-0,0000166666666666667</v>
      </c>
      <c r="AT409" t="str">
        <f t="shared" si="370"/>
        <v>0,00169251440026747i</v>
      </c>
      <c r="AU409">
        <f t="shared" si="393"/>
        <v>1.69251440026747E-3</v>
      </c>
      <c r="AV409">
        <f t="shared" si="394"/>
        <v>1.5707963267948966</v>
      </c>
      <c r="AW409" t="str">
        <f t="shared" si="371"/>
        <v>1+0,56958602714591i</v>
      </c>
      <c r="AX409">
        <f t="shared" si="395"/>
        <v>1.1508380608581996</v>
      </c>
      <c r="AY409">
        <f t="shared" si="396"/>
        <v>0.51775601688433159</v>
      </c>
      <c r="AZ409" t="str">
        <f t="shared" si="372"/>
        <v>1+134,829149568682i</v>
      </c>
      <c r="BA409">
        <f t="shared" si="397"/>
        <v>134.83285791458258</v>
      </c>
      <c r="BB409">
        <f t="shared" si="398"/>
        <v>1.5633796689910955</v>
      </c>
      <c r="BC409" s="41" t="str">
        <f t="shared" si="399"/>
        <v>-0,998235878204842+0,578428490067391i</v>
      </c>
      <c r="BD409">
        <f t="shared" si="400"/>
        <v>1.2419580103626899</v>
      </c>
      <c r="BE409" s="43">
        <f t="shared" si="401"/>
        <v>149.90982222477305</v>
      </c>
      <c r="BF409" s="41" t="str">
        <f t="shared" si="402"/>
        <v>0,666018087479791+1,63953266227958i</v>
      </c>
      <c r="BG409" s="20">
        <f t="shared" si="403"/>
        <v>4.9577286387536477</v>
      </c>
      <c r="BH409" s="43">
        <f t="shared" si="404"/>
        <v>67.891813192748188</v>
      </c>
      <c r="BI409" s="41" t="str">
        <f t="shared" si="357"/>
        <v>-1,25755554500011+2,69781843914969i</v>
      </c>
      <c r="BJ409" s="20">
        <f t="shared" si="405"/>
        <v>9.4741755952679512</v>
      </c>
      <c r="BK409" s="43">
        <f t="shared" si="358"/>
        <v>114.99201240398212</v>
      </c>
      <c r="BL409">
        <f t="shared" si="406"/>
        <v>4.9577286387536477</v>
      </c>
      <c r="BM409" s="43">
        <f t="shared" si="407"/>
        <v>67.891813192748188</v>
      </c>
    </row>
    <row r="410" spans="14:65" x14ac:dyDescent="0.25">
      <c r="N410" s="9">
        <v>92</v>
      </c>
      <c r="O410" s="34">
        <f t="shared" si="359"/>
        <v>83176.377110267174</v>
      </c>
      <c r="P410" s="33" t="str">
        <f t="shared" si="360"/>
        <v>54,631621870174</v>
      </c>
      <c r="Q410" s="4" t="str">
        <f t="shared" si="361"/>
        <v>1+2082,93787994485i</v>
      </c>
      <c r="R410" s="4">
        <f t="shared" si="373"/>
        <v>2082.9381199904014</v>
      </c>
      <c r="S410" s="4">
        <f t="shared" si="374"/>
        <v>1.5703162357020228</v>
      </c>
      <c r="T410" s="4" t="str">
        <f t="shared" si="362"/>
        <v>1+26,1306295281829i</v>
      </c>
      <c r="U410" s="4">
        <f t="shared" si="375"/>
        <v>26.149757160232756</v>
      </c>
      <c r="V410" s="4">
        <f t="shared" si="376"/>
        <v>1.5325457271087146</v>
      </c>
      <c r="W410" t="str">
        <f t="shared" si="363"/>
        <v>1-2,07965258145786i</v>
      </c>
      <c r="X410" s="4">
        <f t="shared" si="377"/>
        <v>2.3075863709868671</v>
      </c>
      <c r="Y410" s="4">
        <f t="shared" si="378"/>
        <v>-1.1225861170986919</v>
      </c>
      <c r="Z410" t="str">
        <f t="shared" si="364"/>
        <v>0,972326761163242+0,285727444373589i</v>
      </c>
      <c r="AA410" s="4">
        <f t="shared" si="379"/>
        <v>1.0134394421683335</v>
      </c>
      <c r="AB410" s="4">
        <f t="shared" si="380"/>
        <v>0.28581382028268426</v>
      </c>
      <c r="AC410" s="47" t="str">
        <f t="shared" si="381"/>
        <v>0,194123892577736-1,54958047439965i</v>
      </c>
      <c r="AD410" s="20">
        <f t="shared" si="382"/>
        <v>3.8719109690262266</v>
      </c>
      <c r="AE410" s="43">
        <f t="shared" si="383"/>
        <v>-82.859463010901507</v>
      </c>
      <c r="AF410" t="str">
        <f t="shared" si="365"/>
        <v>171,265703090588</v>
      </c>
      <c r="AG410" t="str">
        <f t="shared" si="366"/>
        <v>1+2063,00412811479i</v>
      </c>
      <c r="AH410">
        <f t="shared" si="384"/>
        <v>2063.0043704797777</v>
      </c>
      <c r="AI410">
        <f t="shared" si="385"/>
        <v>1.5703115968285088</v>
      </c>
      <c r="AJ410" t="str">
        <f t="shared" si="367"/>
        <v>1+26,1306295281829i</v>
      </c>
      <c r="AK410">
        <f t="shared" si="386"/>
        <v>26.149757160232756</v>
      </c>
      <c r="AL410">
        <f t="shared" si="387"/>
        <v>1.5325457271087146</v>
      </c>
      <c r="AM410" t="str">
        <f t="shared" si="368"/>
        <v>1-0,65703409263309i</v>
      </c>
      <c r="AN410">
        <f t="shared" si="388"/>
        <v>1.1965340776100728</v>
      </c>
      <c r="AO410">
        <f t="shared" si="389"/>
        <v>-0.58130421848255942</v>
      </c>
      <c r="AP410" s="41" t="str">
        <f t="shared" si="390"/>
        <v>2,11548802599162-1,5072980834987i</v>
      </c>
      <c r="AQ410">
        <f t="shared" si="391"/>
        <v>8.291259717066831</v>
      </c>
      <c r="AR410" s="43">
        <f t="shared" si="392"/>
        <v>-35.47010327678651</v>
      </c>
      <c r="AS410" t="str">
        <f t="shared" si="369"/>
        <v>-0,0000166666666666667</v>
      </c>
      <c r="AT410" t="str">
        <f t="shared" si="370"/>
        <v>0,00173193812512797i</v>
      </c>
      <c r="AU410">
        <f t="shared" si="393"/>
        <v>1.73193812512797E-3</v>
      </c>
      <c r="AV410">
        <f t="shared" si="394"/>
        <v>1.5707963267948966</v>
      </c>
      <c r="AW410" t="str">
        <f t="shared" si="371"/>
        <v>1+0,582853390079446i</v>
      </c>
      <c r="AX410">
        <f t="shared" si="395"/>
        <v>1.157461910529717</v>
      </c>
      <c r="AY410">
        <f t="shared" si="396"/>
        <v>0.52771628124916914</v>
      </c>
      <c r="AZ410" t="str">
        <f t="shared" si="372"/>
        <v>1+137,969723908806i</v>
      </c>
      <c r="BA410">
        <f t="shared" si="397"/>
        <v>137.9733478446912</v>
      </c>
      <c r="BB410">
        <f t="shared" si="398"/>
        <v>1.5635484867527976</v>
      </c>
      <c r="BC410" s="41" t="str">
        <f t="shared" si="399"/>
        <v>-0,98684328809664+0,58480808648506i</v>
      </c>
      <c r="BD410">
        <f t="shared" si="400"/>
        <v>1.192097424698956</v>
      </c>
      <c r="BE410" s="43">
        <f t="shared" si="401"/>
        <v>149.34881365908558</v>
      </c>
      <c r="BF410" s="41" t="str">
        <f t="shared" si="402"/>
        <v>0,714637331638739+1,64271831268632i</v>
      </c>
      <c r="BG410" s="20">
        <f t="shared" si="403"/>
        <v>5.0640083937251879</v>
      </c>
      <c r="BH410" s="43">
        <f t="shared" si="404"/>
        <v>66.489350648184086</v>
      </c>
      <c r="BI410" s="41" t="str">
        <f t="shared" si="357"/>
        <v>-1,20617505152517+2,72462150132384i</v>
      </c>
      <c r="BJ410" s="20">
        <f t="shared" si="405"/>
        <v>9.4833571417657989</v>
      </c>
      <c r="BK410" s="43">
        <f t="shared" si="358"/>
        <v>113.87871038229909</v>
      </c>
      <c r="BL410">
        <f t="shared" si="406"/>
        <v>5.0640083937251879</v>
      </c>
      <c r="BM410" s="43">
        <f t="shared" si="407"/>
        <v>66.489350648184086</v>
      </c>
    </row>
    <row r="411" spans="14:65" x14ac:dyDescent="0.25">
      <c r="N411" s="9">
        <v>93</v>
      </c>
      <c r="O411" s="34">
        <f t="shared" si="359"/>
        <v>85113.803820237721</v>
      </c>
      <c r="P411" s="33" t="str">
        <f t="shared" si="360"/>
        <v>54,631621870174</v>
      </c>
      <c r="Q411" s="4" t="str">
        <f t="shared" si="361"/>
        <v>1+2131,4557359037i</v>
      </c>
      <c r="R411" s="4">
        <f t="shared" si="373"/>
        <v>2131.4559704851476</v>
      </c>
      <c r="S411" s="4">
        <f t="shared" si="374"/>
        <v>1.5703271639078686</v>
      </c>
      <c r="T411" s="4" t="str">
        <f t="shared" si="362"/>
        <v>1+26,7392900800742i</v>
      </c>
      <c r="U411" s="4">
        <f t="shared" si="375"/>
        <v>26.757982621758959</v>
      </c>
      <c r="V411" s="4">
        <f t="shared" si="376"/>
        <v>1.5334155967672993</v>
      </c>
      <c r="W411" t="str">
        <f t="shared" si="363"/>
        <v>1-2,12809391298441i</v>
      </c>
      <c r="X411" s="4">
        <f t="shared" si="377"/>
        <v>2.3513365778810353</v>
      </c>
      <c r="Y411" s="4">
        <f t="shared" si="378"/>
        <v>-1.1315140121520533</v>
      </c>
      <c r="Z411" t="str">
        <f t="shared" si="364"/>
        <v>0,971022561597+0,292382891529783i</v>
      </c>
      <c r="AA411" s="4">
        <f t="shared" si="379"/>
        <v>1.0140870625295031</v>
      </c>
      <c r="AB411" s="4">
        <f t="shared" si="380"/>
        <v>0.29247321521691438</v>
      </c>
      <c r="AC411" s="47" t="str">
        <f t="shared" si="381"/>
        <v>0,174411069471593-1,58063927232814i</v>
      </c>
      <c r="AD411" s="20">
        <f t="shared" si="382"/>
        <v>4.0292130604781757</v>
      </c>
      <c r="AE411" s="43">
        <f t="shared" si="383"/>
        <v>-83.70333522114629</v>
      </c>
      <c r="AF411" t="str">
        <f t="shared" si="365"/>
        <v>171,265703090588</v>
      </c>
      <c r="AG411" t="str">
        <f t="shared" si="366"/>
        <v>1+2111,05766734613i</v>
      </c>
      <c r="AH411">
        <f t="shared" si="384"/>
        <v>2111.0579041942183</v>
      </c>
      <c r="AI411">
        <f t="shared" si="385"/>
        <v>1.5703226306279601</v>
      </c>
      <c r="AJ411" t="str">
        <f t="shared" si="367"/>
        <v>1+26,7392900800742i</v>
      </c>
      <c r="AK411">
        <f t="shared" si="386"/>
        <v>26.757982621758959</v>
      </c>
      <c r="AL411">
        <f t="shared" si="387"/>
        <v>1.5334155967672993</v>
      </c>
      <c r="AM411" t="str">
        <f t="shared" si="368"/>
        <v>1-0,672338382680985i</v>
      </c>
      <c r="AN411">
        <f t="shared" si="388"/>
        <v>1.2050057679638229</v>
      </c>
      <c r="AO411">
        <f t="shared" si="389"/>
        <v>-0.59191890433870453</v>
      </c>
      <c r="AP411" s="41" t="str">
        <f t="shared" si="390"/>
        <v>2,11548623721413-1,53863135367073i</v>
      </c>
      <c r="AQ411">
        <f t="shared" si="391"/>
        <v>8.3522549828011527</v>
      </c>
      <c r="AR411" s="43">
        <f t="shared" si="392"/>
        <v>-36.029072307178097</v>
      </c>
      <c r="AS411" t="str">
        <f t="shared" si="369"/>
        <v>-0,0000166666666666667</v>
      </c>
      <c r="AT411" t="str">
        <f t="shared" si="370"/>
        <v>0,00177228014650732i</v>
      </c>
      <c r="AU411">
        <f t="shared" si="393"/>
        <v>1.7722801465073199E-3</v>
      </c>
      <c r="AV411">
        <f t="shared" si="394"/>
        <v>1.5707963267948966</v>
      </c>
      <c r="AW411" t="str">
        <f t="shared" si="371"/>
        <v>1+0,596429789595377i</v>
      </c>
      <c r="AX411">
        <f t="shared" si="395"/>
        <v>1.1643575455661315</v>
      </c>
      <c r="AY411">
        <f t="shared" si="396"/>
        <v>0.53779021023481044</v>
      </c>
      <c r="AZ411" t="str">
        <f t="shared" si="372"/>
        <v>1+141,183451622791i</v>
      </c>
      <c r="BA411">
        <f t="shared" si="397"/>
        <v>141.18699306991766</v>
      </c>
      <c r="BB411">
        <f t="shared" si="398"/>
        <v>1.5637134621522901</v>
      </c>
      <c r="BC411" s="41" t="str">
        <f t="shared" si="399"/>
        <v>-0,975189203091725+0,59103597256225i</v>
      </c>
      <c r="BD411">
        <f t="shared" si="400"/>
        <v>1.1404940832998451</v>
      </c>
      <c r="BE411" s="43">
        <f t="shared" si="401"/>
        <v>148.78107243920837</v>
      </c>
      <c r="BF411" s="41" t="str">
        <f t="shared" si="402"/>
        <v>0,764130877742171+1,64450556842793i</v>
      </c>
      <c r="BG411" s="20">
        <f t="shared" si="403"/>
        <v>5.1697071437780302</v>
      </c>
      <c r="BH411" s="43">
        <f t="shared" si="404"/>
        <v>65.077737218062126</v>
      </c>
      <c r="BI411" s="41" t="str">
        <f t="shared" si="357"/>
        <v>-1,15361285928881+2,75078514929201i</v>
      </c>
      <c r="BJ411" s="20">
        <f t="shared" si="405"/>
        <v>9.4927490661010019</v>
      </c>
      <c r="BK411" s="43">
        <f t="shared" si="358"/>
        <v>112.75200013203032</v>
      </c>
      <c r="BL411">
        <f t="shared" si="406"/>
        <v>5.1697071437780302</v>
      </c>
      <c r="BM411" s="43">
        <f t="shared" si="407"/>
        <v>65.077737218062126</v>
      </c>
    </row>
    <row r="412" spans="14:65" x14ac:dyDescent="0.25">
      <c r="N412" s="9">
        <v>94</v>
      </c>
      <c r="O412" s="34">
        <f t="shared" si="359"/>
        <v>87096.358995608127</v>
      </c>
      <c r="P412" s="33" t="str">
        <f t="shared" si="360"/>
        <v>54,631621870174</v>
      </c>
      <c r="Q412" s="4" t="str">
        <f t="shared" si="361"/>
        <v>1+2181,10371790688i</v>
      </c>
      <c r="R412" s="4">
        <f t="shared" si="373"/>
        <v>2181.1039471486024</v>
      </c>
      <c r="S412" s="4">
        <f t="shared" si="374"/>
        <v>1.5703378433574879</v>
      </c>
      <c r="T412" s="4" t="str">
        <f t="shared" si="362"/>
        <v>1+27,3621281575022i</v>
      </c>
      <c r="U412" s="4">
        <f t="shared" si="375"/>
        <v>27.380395492168752</v>
      </c>
      <c r="V412" s="4">
        <f t="shared" si="376"/>
        <v>1.5342657204667889</v>
      </c>
      <c r="W412" t="str">
        <f t="shared" si="363"/>
        <v>1-2,17766358807228i</v>
      </c>
      <c r="X412" s="4">
        <f t="shared" si="377"/>
        <v>2.3962926997376255</v>
      </c>
      <c r="Y412" s="4">
        <f t="shared" si="378"/>
        <v>-1.1403116688314043</v>
      </c>
      <c r="Z412" t="str">
        <f t="shared" si="364"/>
        <v>0,969656896998833+0,299193363965211i</v>
      </c>
      <c r="AA412" s="4">
        <f t="shared" si="379"/>
        <v>1.0147665578536891</v>
      </c>
      <c r="AB412" s="4">
        <f t="shared" si="380"/>
        <v>0.29928765020188614</v>
      </c>
      <c r="AC412" s="47" t="str">
        <f t="shared" si="381"/>
        <v>0,153822597914381-1,6121790938731i</v>
      </c>
      <c r="AD412" s="20">
        <f t="shared" si="382"/>
        <v>4.187623306362469</v>
      </c>
      <c r="AE412" s="43">
        <f t="shared" si="383"/>
        <v>-84.549745570229163</v>
      </c>
      <c r="AF412" t="str">
        <f t="shared" si="365"/>
        <v>171,265703090588</v>
      </c>
      <c r="AG412" t="str">
        <f t="shared" si="366"/>
        <v>1+2160,23051729585i</v>
      </c>
      <c r="AH412">
        <f t="shared" si="384"/>
        <v>2160.2307487526177</v>
      </c>
      <c r="AI412">
        <f t="shared" si="385"/>
        <v>1.5703334132675837</v>
      </c>
      <c r="AJ412" t="str">
        <f t="shared" si="367"/>
        <v>1+27,3621281575022i</v>
      </c>
      <c r="AK412">
        <f t="shared" si="386"/>
        <v>27.380395492168752</v>
      </c>
      <c r="AL412">
        <f t="shared" si="387"/>
        <v>1.5342657204667889</v>
      </c>
      <c r="AM412" t="str">
        <f t="shared" si="368"/>
        <v>1-0,687999155438828i</v>
      </c>
      <c r="AN412">
        <f t="shared" si="388"/>
        <v>1.2138133455702902</v>
      </c>
      <c r="AO412">
        <f t="shared" si="389"/>
        <v>-0.6026262162072531</v>
      </c>
      <c r="AP412" s="41" t="str">
        <f t="shared" si="390"/>
        <v>2,11548452894485-1,57078042647636i</v>
      </c>
      <c r="AQ412">
        <f t="shared" si="391"/>
        <v>8.4152376666894959</v>
      </c>
      <c r="AR412" s="43">
        <f t="shared" si="392"/>
        <v>-36.594465386873757</v>
      </c>
      <c r="AS412" t="str">
        <f t="shared" si="369"/>
        <v>-0,0000166666666666667</v>
      </c>
      <c r="AT412" t="str">
        <f t="shared" si="370"/>
        <v>0,00181356185427924i</v>
      </c>
      <c r="AU412">
        <f t="shared" si="393"/>
        <v>1.81356185427924E-3</v>
      </c>
      <c r="AV412">
        <f t="shared" si="394"/>
        <v>1.5707963267948966</v>
      </c>
      <c r="AW412" t="str">
        <f t="shared" si="371"/>
        <v>1+0,610322424080435i</v>
      </c>
      <c r="AX412">
        <f t="shared" si="395"/>
        <v>1.1715346607486345</v>
      </c>
      <c r="AY412">
        <f t="shared" si="396"/>
        <v>0.54797496588004391</v>
      </c>
      <c r="AZ412" t="str">
        <f t="shared" si="372"/>
        <v>1+144,472036671612i</v>
      </c>
      <c r="BA412">
        <f t="shared" si="397"/>
        <v>144.47549750751369</v>
      </c>
      <c r="BB412">
        <f t="shared" si="398"/>
        <v>1.5638746826257717</v>
      </c>
      <c r="BC412" s="41" t="str">
        <f t="shared" si="399"/>
        <v>-0,963277295547255+0,597099752400808i</v>
      </c>
      <c r="BD412">
        <f t="shared" si="400"/>
        <v>1.0871086754015118</v>
      </c>
      <c r="BE412" s="43">
        <f t="shared" si="401"/>
        <v>148.20676617806615</v>
      </c>
      <c r="BF412" s="41" t="str">
        <f t="shared" si="402"/>
        <v>0,814457921664369+1,64482295261223i</v>
      </c>
      <c r="BG412" s="20">
        <f t="shared" si="403"/>
        <v>5.2747319817639813</v>
      </c>
      <c r="BH412" s="43">
        <f t="shared" si="404"/>
        <v>63.657020607837012</v>
      </c>
      <c r="BI412" s="41" t="str">
        <f t="shared" si="357"/>
        <v>-1,09988561208898+2,77625240955542i</v>
      </c>
      <c r="BJ412" s="20">
        <f t="shared" si="405"/>
        <v>9.5023463420909984</v>
      </c>
      <c r="BK412" s="43">
        <f t="shared" si="358"/>
        <v>111.61230079119233</v>
      </c>
      <c r="BL412">
        <f t="shared" si="406"/>
        <v>5.2747319817639813</v>
      </c>
      <c r="BM412" s="43">
        <f t="shared" si="407"/>
        <v>63.657020607837012</v>
      </c>
    </row>
    <row r="413" spans="14:65" x14ac:dyDescent="0.25">
      <c r="N413" s="9">
        <v>95</v>
      </c>
      <c r="O413" s="34">
        <f t="shared" si="359"/>
        <v>89125.093813374609</v>
      </c>
      <c r="P413" s="33" t="str">
        <f t="shared" si="360"/>
        <v>54,631621870174</v>
      </c>
      <c r="Q413" s="4" t="str">
        <f t="shared" si="361"/>
        <v>1+2231,9081499716i</v>
      </c>
      <c r="R413" s="4">
        <f t="shared" si="373"/>
        <v>2231.9083739951443</v>
      </c>
      <c r="S413" s="4">
        <f t="shared" si="374"/>
        <v>1.570348279713256</v>
      </c>
      <c r="T413" s="4" t="str">
        <f t="shared" si="362"/>
        <v>1+27,9994739974599i</v>
      </c>
      <c r="U413" s="4">
        <f t="shared" si="375"/>
        <v>28.017325784850222</v>
      </c>
      <c r="V413" s="4">
        <f t="shared" si="376"/>
        <v>1.5350965440360707</v>
      </c>
      <c r="W413" t="str">
        <f t="shared" si="363"/>
        <v>1-2,22838788921933i</v>
      </c>
      <c r="X413" s="4">
        <f t="shared" si="377"/>
        <v>2.4424808258857182</v>
      </c>
      <c r="Y413" s="4">
        <f t="shared" si="378"/>
        <v>-1.1489783033284124</v>
      </c>
      <c r="Z413" t="str">
        <f t="shared" si="364"/>
        <v>0,968226870611029+0,306162472682505i</v>
      </c>
      <c r="AA413" s="4">
        <f t="shared" si="379"/>
        <v>1.015479557968693</v>
      </c>
      <c r="AB413" s="4">
        <f t="shared" si="380"/>
        <v>0.30626070543633721</v>
      </c>
      <c r="AC413" s="47" t="str">
        <f t="shared" si="381"/>
        <v>0,132322358243787-1,64419189347103i</v>
      </c>
      <c r="AD413" s="20">
        <f t="shared" si="382"/>
        <v>4.3470878006089171</v>
      </c>
      <c r="AE413" s="43">
        <f t="shared" si="383"/>
        <v>-85.398829059835052</v>
      </c>
      <c r="AF413" t="str">
        <f t="shared" si="365"/>
        <v>171,265703090588</v>
      </c>
      <c r="AG413" t="str">
        <f t="shared" si="366"/>
        <v>1+2210,54875005987i</v>
      </c>
      <c r="AH413">
        <f t="shared" si="384"/>
        <v>2210.5489762480393</v>
      </c>
      <c r="AI413">
        <f t="shared" si="385"/>
        <v>1.5703439504644683</v>
      </c>
      <c r="AJ413" t="str">
        <f t="shared" si="367"/>
        <v>1+27,9994739974599i</v>
      </c>
      <c r="AK413">
        <f t="shared" si="386"/>
        <v>28.017325784850222</v>
      </c>
      <c r="AL413">
        <f t="shared" si="387"/>
        <v>1.5350965440360707</v>
      </c>
      <c r="AM413" t="str">
        <f t="shared" si="368"/>
        <v>1-0,70402471445563i</v>
      </c>
      <c r="AN413">
        <f t="shared" si="388"/>
        <v>1.222968028430969</v>
      </c>
      <c r="AO413">
        <f t="shared" si="389"/>
        <v>-0.61342201078676128</v>
      </c>
      <c r="AP413" s="41" t="str">
        <f t="shared" si="390"/>
        <v>2,11548289756032-1,60376234778465i</v>
      </c>
      <c r="AQ413">
        <f t="shared" si="391"/>
        <v>8.4802408811386449</v>
      </c>
      <c r="AR413" s="43">
        <f t="shared" si="392"/>
        <v>-37.166019905639303</v>
      </c>
      <c r="AS413" t="str">
        <f t="shared" si="369"/>
        <v>-0,0000166666666666667</v>
      </c>
      <c r="AT413" t="str">
        <f t="shared" si="370"/>
        <v>0,00185580513655164i</v>
      </c>
      <c r="AU413">
        <f t="shared" si="393"/>
        <v>1.8558051365516401E-3</v>
      </c>
      <c r="AV413">
        <f t="shared" si="394"/>
        <v>1.5707963267948966</v>
      </c>
      <c r="AW413" t="str">
        <f t="shared" si="371"/>
        <v>1+0,624538659593312i</v>
      </c>
      <c r="AX413">
        <f t="shared" si="395"/>
        <v>1.17900319648702</v>
      </c>
      <c r="AY413">
        <f t="shared" si="396"/>
        <v>0.55826749615020899</v>
      </c>
      <c r="AZ413" t="str">
        <f t="shared" si="372"/>
        <v>1+147,837222706588i</v>
      </c>
      <c r="BA413">
        <f t="shared" si="397"/>
        <v>147.84060476606993</v>
      </c>
      <c r="BB413">
        <f t="shared" si="398"/>
        <v>1.5640322336209287</v>
      </c>
      <c r="BC413" s="41" t="str">
        <f t="shared" si="399"/>
        <v>-0,951111960546469+0,602987016927173i</v>
      </c>
      <c r="BD413">
        <f t="shared" si="400"/>
        <v>1.0319025012150163</v>
      </c>
      <c r="BE413" s="43">
        <f t="shared" si="401"/>
        <v>147.62607464015562</v>
      </c>
      <c r="BF413" s="41" t="str">
        <f t="shared" si="402"/>
        <v>0,865572987526556+1,64359923938403i</v>
      </c>
      <c r="BG413" s="20">
        <f t="shared" si="403"/>
        <v>5.3789903018239249</v>
      </c>
      <c r="BH413" s="43">
        <f t="shared" si="404"/>
        <v>62.227245580320542</v>
      </c>
      <c r="BI413" s="41" t="str">
        <f t="shared" si="357"/>
        <v>-1,04501321225034+2,80096627261242i</v>
      </c>
      <c r="BJ413" s="20">
        <f t="shared" si="405"/>
        <v>9.5121433823536776</v>
      </c>
      <c r="BK413" s="43">
        <f t="shared" si="358"/>
        <v>110.46005473451638</v>
      </c>
      <c r="BL413">
        <f t="shared" si="406"/>
        <v>5.3789903018239249</v>
      </c>
      <c r="BM413" s="43">
        <f t="shared" si="407"/>
        <v>62.227245580320542</v>
      </c>
    </row>
    <row r="414" spans="14:65" x14ac:dyDescent="0.25">
      <c r="N414" s="9">
        <v>96</v>
      </c>
      <c r="O414" s="34">
        <f t="shared" si="359"/>
        <v>91201.083935591028</v>
      </c>
      <c r="P414" s="33" t="str">
        <f t="shared" si="360"/>
        <v>54,631621870174</v>
      </c>
      <c r="Q414" s="4" t="str">
        <f t="shared" si="361"/>
        <v>1+2283,89596928024i</v>
      </c>
      <c r="R414" s="4">
        <f t="shared" si="373"/>
        <v>2283.8961882043868</v>
      </c>
      <c r="S414" s="4">
        <f t="shared" si="374"/>
        <v>1.5703584785086582</v>
      </c>
      <c r="T414" s="4" t="str">
        <f t="shared" si="362"/>
        <v>1+28,6516655291479i</v>
      </c>
      <c r="U414" s="4">
        <f t="shared" si="375"/>
        <v>28.66911121039789</v>
      </c>
      <c r="V414" s="4">
        <f t="shared" si="376"/>
        <v>1.535908503398252</v>
      </c>
      <c r="W414" t="str">
        <f t="shared" si="363"/>
        <v>1-2,28029371112144i</v>
      </c>
      <c r="X414" s="4">
        <f t="shared" si="377"/>
        <v>2.4899275911118357</v>
      </c>
      <c r="Y414" s="4">
        <f t="shared" si="378"/>
        <v>-1.1575133021266244</v>
      </c>
      <c r="Z414" t="str">
        <f t="shared" si="364"/>
        <v>0,966729449155893+0,313293912795355i</v>
      </c>
      <c r="AA414" s="4">
        <f t="shared" si="379"/>
        <v>1.0162277813855907</v>
      </c>
      <c r="AB414" s="4">
        <f t="shared" si="380"/>
        <v>0.3133960392774035</v>
      </c>
      <c r="AC414" s="47" t="str">
        <f t="shared" si="381"/>
        <v>0,109873024764718-1,67666820339565i</v>
      </c>
      <c r="AD414" s="20">
        <f t="shared" si="382"/>
        <v>4.5075523543210032</v>
      </c>
      <c r="AE414" s="43">
        <f t="shared" si="383"/>
        <v>-86.250735486975316</v>
      </c>
      <c r="AF414" t="str">
        <f t="shared" si="365"/>
        <v>171,265703090588</v>
      </c>
      <c r="AG414" t="str">
        <f t="shared" si="366"/>
        <v>1+2262,03904503125i</v>
      </c>
      <c r="AH414">
        <f t="shared" si="384"/>
        <v>2262.0392660707485</v>
      </c>
      <c r="AI414">
        <f t="shared" si="385"/>
        <v>1.5703542478055652</v>
      </c>
      <c r="AJ414" t="str">
        <f t="shared" si="367"/>
        <v>1+28,6516655291479i</v>
      </c>
      <c r="AK414">
        <f t="shared" si="386"/>
        <v>28.66911121039789</v>
      </c>
      <c r="AL414">
        <f t="shared" si="387"/>
        <v>1.535908503398252</v>
      </c>
      <c r="AM414" t="str">
        <f t="shared" si="368"/>
        <v>1-0,720423556694905i</v>
      </c>
      <c r="AN414">
        <f t="shared" si="388"/>
        <v>1.2324812781705599</v>
      </c>
      <c r="AO414">
        <f t="shared" si="389"/>
        <v>-0.624301946306831</v>
      </c>
      <c r="AP414" s="41" t="str">
        <f t="shared" si="390"/>
        <v>2,11548133960015-1,63759460505159i</v>
      </c>
      <c r="AQ414">
        <f t="shared" si="391"/>
        <v>8.5472964513311958</v>
      </c>
      <c r="AR414" s="43">
        <f t="shared" si="392"/>
        <v>-37.743462441909791</v>
      </c>
      <c r="AS414" t="str">
        <f t="shared" si="369"/>
        <v>-0,0000166666666666667</v>
      </c>
      <c r="AT414" t="str">
        <f t="shared" si="370"/>
        <v>0,00189903239127192i</v>
      </c>
      <c r="AU414">
        <f t="shared" si="393"/>
        <v>1.89903239127192E-3</v>
      </c>
      <c r="AV414">
        <f t="shared" si="394"/>
        <v>1.5707963267948966</v>
      </c>
      <c r="AW414" t="str">
        <f t="shared" si="371"/>
        <v>1+0,639086033770251i</v>
      </c>
      <c r="AX414">
        <f t="shared" si="395"/>
        <v>1.186773339168095</v>
      </c>
      <c r="AY414">
        <f t="shared" si="396"/>
        <v>0.56866453508096149</v>
      </c>
      <c r="AZ414" t="str">
        <f t="shared" si="372"/>
        <v>1+151,280793993901i</v>
      </c>
      <c r="BA414">
        <f t="shared" si="397"/>
        <v>151.28409907001171</v>
      </c>
      <c r="BB414">
        <f t="shared" si="398"/>
        <v>1.5641861986420802</v>
      </c>
      <c r="BC414" s="41" t="str">
        <f t="shared" si="399"/>
        <v>-0,938698330618215+0,608685392383285i</v>
      </c>
      <c r="BD414">
        <f t="shared" si="400"/>
        <v>0.97483758237129792</v>
      </c>
      <c r="BE414" s="43">
        <f t="shared" si="401"/>
        <v>147.03918973589467</v>
      </c>
      <c r="BF414" s="41" t="str">
        <f t="shared" si="402"/>
        <v>0,917425818353844+1,64076374871939i</v>
      </c>
      <c r="BG414" s="20">
        <f t="shared" si="403"/>
        <v>5.4823899366923046</v>
      </c>
      <c r="BH414" s="43">
        <f t="shared" si="404"/>
        <v>60.788454248919372</v>
      </c>
      <c r="BI414" s="41" t="str">
        <f t="shared" si="357"/>
        <v>-0,989018887196068+2,82486991126536i</v>
      </c>
      <c r="BJ414" s="20">
        <f t="shared" si="405"/>
        <v>9.522134033702498</v>
      </c>
      <c r="BK414" s="43">
        <f t="shared" si="358"/>
        <v>109.29572729398485</v>
      </c>
      <c r="BL414">
        <f t="shared" si="406"/>
        <v>5.4823899366923046</v>
      </c>
      <c r="BM414" s="43">
        <f t="shared" si="407"/>
        <v>60.788454248919372</v>
      </c>
    </row>
    <row r="415" spans="14:65" x14ac:dyDescent="0.25">
      <c r="N415" s="9">
        <v>97</v>
      </c>
      <c r="O415" s="34">
        <f t="shared" si="359"/>
        <v>93325.430079699145</v>
      </c>
      <c r="P415" s="33" t="str">
        <f t="shared" si="360"/>
        <v>54,631621870174</v>
      </c>
      <c r="Q415" s="4" t="str">
        <f t="shared" si="361"/>
        <v>1+2337,09474046273i</v>
      </c>
      <c r="R415" s="4">
        <f t="shared" si="373"/>
        <v>2337.0949544035552</v>
      </c>
      <c r="S415" s="4">
        <f t="shared" si="374"/>
        <v>1.5703684451512221</v>
      </c>
      <c r="T415" s="4" t="str">
        <f t="shared" si="362"/>
        <v>1+29,3190485531491i</v>
      </c>
      <c r="U415" s="4">
        <f t="shared" si="375"/>
        <v>29.336097355679648</v>
      </c>
      <c r="V415" s="4">
        <f t="shared" si="376"/>
        <v>1.5367020247800327</v>
      </c>
      <c r="W415" t="str">
        <f t="shared" si="363"/>
        <v>1-2,33340857493244i</v>
      </c>
      <c r="X415" s="4">
        <f t="shared" si="377"/>
        <v>2.5386601934028588</v>
      </c>
      <c r="Y415" s="4">
        <f t="shared" si="378"/>
        <v>-1.1659162156123029</v>
      </c>
      <c r="Z415" t="str">
        <f t="shared" si="364"/>
        <v>0,965161456401757+0,320591465487705i</v>
      </c>
      <c r="AA415" s="4">
        <f t="shared" si="379"/>
        <v>1.0170130405590259</v>
      </c>
      <c r="AB415" s="4">
        <f t="shared" si="380"/>
        <v>0.32069738934069281</v>
      </c>
      <c r="AC415" s="47" t="str">
        <f t="shared" si="381"/>
        <v>0,0864360563577561-1,70959702186667i</v>
      </c>
      <c r="AD415" s="20">
        <f t="shared" si="382"/>
        <v>4.668962515730799</v>
      </c>
      <c r="AE415" s="43">
        <f t="shared" si="383"/>
        <v>-87.105629129117759</v>
      </c>
      <c r="AF415" t="str">
        <f t="shared" si="365"/>
        <v>171,265703090588</v>
      </c>
      <c r="AG415" t="str">
        <f t="shared" si="366"/>
        <v>1+2314,72870304593i</v>
      </c>
      <c r="AH415">
        <f t="shared" si="384"/>
        <v>2314.7289190539559</v>
      </c>
      <c r="AI415">
        <f t="shared" si="385"/>
        <v>1.5703643107506529</v>
      </c>
      <c r="AJ415" t="str">
        <f t="shared" si="367"/>
        <v>1+29,3190485531491i</v>
      </c>
      <c r="AK415">
        <f t="shared" si="386"/>
        <v>29.336097355679648</v>
      </c>
      <c r="AL415">
        <f t="shared" si="387"/>
        <v>1.5367020247800327</v>
      </c>
      <c r="AM415" t="str">
        <f t="shared" si="368"/>
        <v>1-0,737204377039873i</v>
      </c>
      <c r="AN415">
        <f t="shared" si="388"/>
        <v>1.242364798892317</v>
      </c>
      <c r="AO415">
        <f t="shared" si="389"/>
        <v>-0.63526148850911723</v>
      </c>
      <c r="AP415" s="41" t="str">
        <f t="shared" si="390"/>
        <v>2,11547985175972-1,67229513659224i</v>
      </c>
      <c r="AQ415">
        <f t="shared" si="391"/>
        <v>8.6164348017173626</v>
      </c>
      <c r="AR415" s="43">
        <f t="shared" si="392"/>
        <v>-38.32650909364979</v>
      </c>
      <c r="AS415" t="str">
        <f t="shared" si="369"/>
        <v>-0,0000166666666666667</v>
      </c>
      <c r="AT415" t="str">
        <f t="shared" si="370"/>
        <v>0,00194326653810272i</v>
      </c>
      <c r="AU415">
        <f t="shared" si="393"/>
        <v>1.9432665381027201E-3</v>
      </c>
      <c r="AV415">
        <f t="shared" si="394"/>
        <v>1.5707963267948966</v>
      </c>
      <c r="AW415" t="str">
        <f t="shared" si="371"/>
        <v>1+0,653972259821599i</v>
      </c>
      <c r="AX415">
        <f t="shared" si="395"/>
        <v>1.194855521230985</v>
      </c>
      <c r="AY415">
        <f t="shared" si="396"/>
        <v>0.57916260378795981</v>
      </c>
      <c r="AZ415" t="str">
        <f t="shared" si="372"/>
        <v>1+154,804576360627i</v>
      </c>
      <c r="BA415">
        <f t="shared" si="397"/>
        <v>154.80780620560839</v>
      </c>
      <c r="BB415">
        <f t="shared" si="398"/>
        <v>1.5643366592943031</v>
      </c>
      <c r="BC415" s="41" t="str">
        <f t="shared" si="399"/>
        <v>-0,926042286798774+0,614182591110411i</v>
      </c>
      <c r="BD415">
        <f t="shared" si="400"/>
        <v>0.91587677432041303</v>
      </c>
      <c r="BE415" s="43">
        <f t="shared" si="401"/>
        <v>146.44631546630063</v>
      </c>
      <c r="BF415" s="41" t="str">
        <f t="shared" si="402"/>
        <v>0,969961285353309+1,63624665669296i</v>
      </c>
      <c r="BG415" s="20">
        <f t="shared" si="403"/>
        <v>5.5848392900512209</v>
      </c>
      <c r="BH415" s="43">
        <f t="shared" si="404"/>
        <v>59.34068633718293</v>
      </c>
      <c r="BI415" s="41" t="str">
        <f t="shared" si="357"/>
        <v>-0,931929239506742+2,847906909288i</v>
      </c>
      <c r="BJ415" s="20">
        <f t="shared" si="405"/>
        <v>9.5323115760377775</v>
      </c>
      <c r="BK415" s="43">
        <f t="shared" si="358"/>
        <v>108.11980637265084</v>
      </c>
      <c r="BL415">
        <f t="shared" si="406"/>
        <v>5.5848392900512209</v>
      </c>
      <c r="BM415" s="43">
        <f t="shared" si="407"/>
        <v>59.34068633718293</v>
      </c>
    </row>
    <row r="416" spans="14:65" x14ac:dyDescent="0.25">
      <c r="N416" s="9">
        <v>98</v>
      </c>
      <c r="O416" s="34">
        <f t="shared" si="359"/>
        <v>95499.258602143804</v>
      </c>
      <c r="P416" s="33" t="str">
        <f t="shared" si="360"/>
        <v>54,631621870174</v>
      </c>
      <c r="Q416" s="4" t="str">
        <f t="shared" si="361"/>
        <v>1+2391,53267021173i</v>
      </c>
      <c r="R416" s="4">
        <f t="shared" si="373"/>
        <v>2391.5328792826681</v>
      </c>
      <c r="S416" s="4">
        <f t="shared" si="374"/>
        <v>1.5703781849253855</v>
      </c>
      <c r="T416" s="4" t="str">
        <f t="shared" si="362"/>
        <v>1+30,0019769247767i</v>
      </c>
      <c r="U416" s="4">
        <f t="shared" si="375"/>
        <v>30.018637867079072</v>
      </c>
      <c r="V416" s="4">
        <f t="shared" si="376"/>
        <v>1.5374775249173769</v>
      </c>
      <c r="W416" t="str">
        <f t="shared" si="363"/>
        <v>1-2,38776064285619i</v>
      </c>
      <c r="X416" s="4">
        <f t="shared" si="377"/>
        <v>2.5887064120083232</v>
      </c>
      <c r="Y416" s="4">
        <f t="shared" si="378"/>
        <v>-1.1741867515036124</v>
      </c>
      <c r="Z416" t="str">
        <f t="shared" si="364"/>
        <v>0,963519566425763+0,328059000018586i</v>
      </c>
      <c r="AA416" s="4">
        <f t="shared" si="379"/>
        <v>1.0178372474902286</v>
      </c>
      <c r="AB416" s="4">
        <f t="shared" si="380"/>
        <v>0.32816857353588152</v>
      </c>
      <c r="AC416" s="47" t="str">
        <f t="shared" si="381"/>
        <v>0,0619716911055113-1,74296569437599i</v>
      </c>
      <c r="AD416" s="20">
        <f t="shared" si="382"/>
        <v>4.8312635831856481</v>
      </c>
      <c r="AE416" s="43">
        <f t="shared" si="383"/>
        <v>-87.963688415421757</v>
      </c>
      <c r="AF416" t="str">
        <f t="shared" si="365"/>
        <v>171,265703090588</v>
      </c>
      <c r="AG416" t="str">
        <f t="shared" si="366"/>
        <v>1+2368,64566085802i</v>
      </c>
      <c r="AH416">
        <f t="shared" si="384"/>
        <v>2368.6458719491034</v>
      </c>
      <c r="AI416">
        <f t="shared" si="385"/>
        <v>1.5703741446352295</v>
      </c>
      <c r="AJ416" t="str">
        <f t="shared" si="367"/>
        <v>1+30,0019769247767i</v>
      </c>
      <c r="AK416">
        <f t="shared" si="386"/>
        <v>30.018637867079072</v>
      </c>
      <c r="AL416">
        <f t="shared" si="387"/>
        <v>1.5374775249173769</v>
      </c>
      <c r="AM416" t="str">
        <f t="shared" si="368"/>
        <v>1-0,754376072903602i</v>
      </c>
      <c r="AN416">
        <f t="shared" si="388"/>
        <v>1.2526305358602194</v>
      </c>
      <c r="AO416">
        <f t="shared" si="389"/>
        <v>-0.64629591762172334</v>
      </c>
      <c r="AP416" s="41" t="str">
        <f t="shared" si="390"/>
        <v>2,11547843088311-1,70788234109189i</v>
      </c>
      <c r="AQ416">
        <f t="shared" si="391"/>
        <v>8.6876848448016872</v>
      </c>
      <c r="AR416" s="43">
        <f t="shared" si="392"/>
        <v>-38.914865866339355</v>
      </c>
      <c r="AS416" t="str">
        <f t="shared" si="369"/>
        <v>-0,0000166666666666667</v>
      </c>
      <c r="AT416" t="str">
        <f t="shared" si="370"/>
        <v>0,0019885310305742i</v>
      </c>
      <c r="AU416">
        <f t="shared" si="393"/>
        <v>1.9885310305741998E-3</v>
      </c>
      <c r="AV416">
        <f t="shared" si="394"/>
        <v>1.5707963267948966</v>
      </c>
      <c r="AW416" t="str">
        <f t="shared" si="371"/>
        <v>1+0,669205230621452i</v>
      </c>
      <c r="AX416">
        <f t="shared" si="395"/>
        <v>1.2032604209775666</v>
      </c>
      <c r="AY416">
        <f t="shared" si="396"/>
        <v>0.5897580123798819</v>
      </c>
      <c r="AZ416" t="str">
        <f t="shared" si="372"/>
        <v>1+158,410438162821i</v>
      </c>
      <c r="BA416">
        <f t="shared" si="397"/>
        <v>158.41359448903663</v>
      </c>
      <c r="BB416">
        <f t="shared" si="398"/>
        <v>1.5644836953265615</v>
      </c>
      <c r="BC416" s="41" t="str">
        <f t="shared" si="399"/>
        <v>-0,913150465725774+0,61946646433052i</v>
      </c>
      <c r="BD416">
        <f t="shared" si="400"/>
        <v>0.85498388011105764</v>
      </c>
      <c r="BE416" s="43">
        <f t="shared" si="401"/>
        <v>145.84766781585154</v>
      </c>
      <c r="BF416" s="41" t="str">
        <f t="shared" si="402"/>
        <v>1,02311931754967+1,6299793199412i</v>
      </c>
      <c r="BG416" s="20">
        <f t="shared" si="403"/>
        <v>5.6862474632967128</v>
      </c>
      <c r="BH416" s="43">
        <f t="shared" si="404"/>
        <v>57.883979400429922</v>
      </c>
      <c r="BI416" s="41" t="str">
        <f t="shared" si="357"/>
        <v>-0,873774279065017+2,87002149911952i</v>
      </c>
      <c r="BJ416" s="20">
        <f t="shared" si="405"/>
        <v>9.542668724912744</v>
      </c>
      <c r="BK416" s="43">
        <f t="shared" si="358"/>
        <v>106.9328019495122</v>
      </c>
      <c r="BL416">
        <f t="shared" si="406"/>
        <v>5.6862474632967128</v>
      </c>
      <c r="BM416" s="43">
        <f t="shared" si="407"/>
        <v>57.883979400429922</v>
      </c>
    </row>
    <row r="417" spans="14:65" x14ac:dyDescent="0.25">
      <c r="N417" s="9">
        <v>99</v>
      </c>
      <c r="O417" s="34">
        <f t="shared" si="359"/>
        <v>97723.722095581266</v>
      </c>
      <c r="P417" s="33" t="str">
        <f t="shared" si="360"/>
        <v>54,631621870174</v>
      </c>
      <c r="Q417" s="4" t="str">
        <f t="shared" si="361"/>
        <v>1+2447,23862223814i</v>
      </c>
      <c r="R417" s="4">
        <f t="shared" si="373"/>
        <v>2447.2388265500431</v>
      </c>
      <c r="S417" s="4">
        <f t="shared" si="374"/>
        <v>1.5703877029952986</v>
      </c>
      <c r="T417" s="4" t="str">
        <f t="shared" si="362"/>
        <v>1+30,7008127416928i</v>
      </c>
      <c r="U417" s="4">
        <f t="shared" si="375"/>
        <v>30.717094638010394</v>
      </c>
      <c r="V417" s="4">
        <f t="shared" si="376"/>
        <v>1.5382354112575007</v>
      </c>
      <c r="W417" t="str">
        <f t="shared" si="363"/>
        <v>1-2,44337873307853i</v>
      </c>
      <c r="X417" s="4">
        <f t="shared" si="377"/>
        <v>2.6400946258156055</v>
      </c>
      <c r="Y417" s="4">
        <f t="shared" si="378"/>
        <v>-1.1823247681428439</v>
      </c>
      <c r="Z417" t="str">
        <f t="shared" si="364"/>
        <v>0,961800296559142+0,335700475773651i</v>
      </c>
      <c r="AA417" s="4">
        <f t="shared" si="379"/>
        <v>1.0187024196966989</v>
      </c>
      <c r="AB417" s="4">
        <f t="shared" si="380"/>
        <v>0.33581349102581382</v>
      </c>
      <c r="AC417" s="47" t="str">
        <f t="shared" si="381"/>
        <v>0,0364389455284625-1,77675978796191i</v>
      </c>
      <c r="AD417" s="20">
        <f t="shared" si="382"/>
        <v>4.9944006111285981</v>
      </c>
      <c r="AE417" s="43">
        <f t="shared" si="383"/>
        <v>-88.825105585951221</v>
      </c>
      <c r="AF417" t="str">
        <f t="shared" si="365"/>
        <v>171,265703090588</v>
      </c>
      <c r="AG417" t="str">
        <f t="shared" si="366"/>
        <v>1+2423,81850595222i</v>
      </c>
      <c r="AH417">
        <f t="shared" si="384"/>
        <v>2423.8187122382842</v>
      </c>
      <c r="AI417">
        <f t="shared" si="385"/>
        <v>1.570383754673343</v>
      </c>
      <c r="AJ417" t="str">
        <f t="shared" si="367"/>
        <v>1+30,7008127416928i</v>
      </c>
      <c r="AK417">
        <f t="shared" si="386"/>
        <v>30.717094638010394</v>
      </c>
      <c r="AL417">
        <f t="shared" si="387"/>
        <v>1.5382354112575007</v>
      </c>
      <c r="AM417" t="str">
        <f t="shared" si="368"/>
        <v>1-0,77194774894653i</v>
      </c>
      <c r="AN417">
        <f t="shared" si="388"/>
        <v>1.2632906740349248</v>
      </c>
      <c r="AO417">
        <f t="shared" si="389"/>
        <v>-0.65740033631969297</v>
      </c>
      <c r="AP417" s="41" t="str">
        <f t="shared" si="390"/>
        <v>2,11547707395647-1,74437508736126i</v>
      </c>
      <c r="AQ417">
        <f t="shared" si="391"/>
        <v>8.7610738729933519</v>
      </c>
      <c r="AR417" s="43">
        <f t="shared" si="392"/>
        <v>-39.508229117664222</v>
      </c>
      <c r="AS417" t="str">
        <f t="shared" si="369"/>
        <v>-0,0000166666666666667</v>
      </c>
      <c r="AT417" t="str">
        <f t="shared" si="370"/>
        <v>0,0020348498685194i</v>
      </c>
      <c r="AU417">
        <f t="shared" si="393"/>
        <v>2.0348498685194001E-3</v>
      </c>
      <c r="AV417">
        <f t="shared" si="394"/>
        <v>1.5707963267948966</v>
      </c>
      <c r="AW417" t="str">
        <f t="shared" si="371"/>
        <v>1+0,684793022892557i</v>
      </c>
      <c r="AX417">
        <f t="shared" si="395"/>
        <v>1.2119989621292282</v>
      </c>
      <c r="AY417">
        <f t="shared" si="396"/>
        <v>0.60044686280665127</v>
      </c>
      <c r="AZ417" t="str">
        <f t="shared" si="372"/>
        <v>1+162,100291276138i</v>
      </c>
      <c r="BA417">
        <f t="shared" si="397"/>
        <v>162.1033757569804</v>
      </c>
      <c r="BB417">
        <f t="shared" si="398"/>
        <v>1.564627384673861</v>
      </c>
      <c r="BC417" s="41" t="str">
        <f t="shared" si="399"/>
        <v>-0,900030262478014+0,624525056586948i</v>
      </c>
      <c r="BD417">
        <f t="shared" si="400"/>
        <v>0.79212376492599113</v>
      </c>
      <c r="BE417" s="43">
        <f t="shared" si="401"/>
        <v>145.24347459171233</v>
      </c>
      <c r="BF417" s="41" t="str">
        <f t="shared" si="402"/>
        <v>1,07683485340992+1,62189461283787i</v>
      </c>
      <c r="BG417" s="20">
        <f t="shared" si="403"/>
        <v>5.7865243760545857</v>
      </c>
      <c r="BH417" s="43">
        <f t="shared" si="404"/>
        <v>56.418369005761143</v>
      </c>
      <c r="BI417" s="41" t="str">
        <f t="shared" si="357"/>
        <v>-0,81458743599611+2,89115880705892i</v>
      </c>
      <c r="BJ417" s="20">
        <f t="shared" si="405"/>
        <v>9.5531976379193484</v>
      </c>
      <c r="BK417" s="43">
        <f t="shared" si="358"/>
        <v>105.73524547404811</v>
      </c>
      <c r="BL417">
        <f t="shared" si="406"/>
        <v>5.7865243760545857</v>
      </c>
      <c r="BM417" s="43">
        <f t="shared" si="407"/>
        <v>56.418369005761143</v>
      </c>
    </row>
    <row r="418" spans="14:65" x14ac:dyDescent="0.25">
      <c r="N418" s="9">
        <v>100</v>
      </c>
      <c r="O418" s="34">
        <f t="shared" si="359"/>
        <v>100000</v>
      </c>
      <c r="P418" s="33" t="str">
        <f t="shared" si="360"/>
        <v>54,631621870174</v>
      </c>
      <c r="Q418" s="4" t="str">
        <f t="shared" si="361"/>
        <v>1+2504,24213257509i</v>
      </c>
      <c r="R418" s="4">
        <f t="shared" si="373"/>
        <v>2504.242332236287</v>
      </c>
      <c r="S418" s="4">
        <f t="shared" si="374"/>
        <v>1.5703970044075606</v>
      </c>
      <c r="T418" s="4" t="str">
        <f t="shared" si="362"/>
        <v>1+31,415926535898i</v>
      </c>
      <c r="U418" s="4">
        <f t="shared" si="375"/>
        <v>31.431838000806444</v>
      </c>
      <c r="V418" s="4">
        <f t="shared" si="376"/>
        <v>1.5389760821571943</v>
      </c>
      <c r="W418" t="str">
        <f t="shared" si="363"/>
        <v>1-2,50029233504708i</v>
      </c>
      <c r="X418" s="4">
        <f t="shared" si="377"/>
        <v>2.6928538320330682</v>
      </c>
      <c r="Y418" s="4">
        <f t="shared" si="378"/>
        <v>-1.1903302676937044</v>
      </c>
      <c r="Z418" t="str">
        <f t="shared" si="364"/>
        <v>0,96+0,343519944364491i</v>
      </c>
      <c r="AA418" s="4">
        <f t="shared" si="379"/>
        <v>1.0196106865741368</v>
      </c>
      <c r="AB418" s="4">
        <f t="shared" si="380"/>
        <v>0.34363612309566416</v>
      </c>
      <c r="AC418" s="47" t="str">
        <f t="shared" si="381"/>
        <v>0,00979561908257535-1,81096295817238i</v>
      </c>
      <c r="AD418" s="20">
        <f t="shared" si="382"/>
        <v>5.1583184090575873</v>
      </c>
      <c r="AE418" s="43">
        <f t="shared" si="383"/>
        <v>-89.690086340501011</v>
      </c>
      <c r="AF418" t="str">
        <f t="shared" si="365"/>
        <v>171,265703090588</v>
      </c>
      <c r="AG418" t="str">
        <f t="shared" si="366"/>
        <v>1+2480,27649170132i</v>
      </c>
      <c r="AH418">
        <f t="shared" si="384"/>
        <v>2480.2766932917402</v>
      </c>
      <c r="AI418">
        <f t="shared" si="385"/>
        <v>1.5703931459603562</v>
      </c>
      <c r="AJ418" t="str">
        <f t="shared" si="367"/>
        <v>1+31,415926535898i</v>
      </c>
      <c r="AK418">
        <f t="shared" si="386"/>
        <v>31.431838000806444</v>
      </c>
      <c r="AL418">
        <f t="shared" si="387"/>
        <v>1.5389760821571943</v>
      </c>
      <c r="AM418" t="str">
        <f t="shared" si="368"/>
        <v>1-0,789928721903887i</v>
      </c>
      <c r="AN418">
        <f t="shared" si="388"/>
        <v>1.2743576364932681</v>
      </c>
      <c r="AO418">
        <f t="shared" si="389"/>
        <v>-0.66856967865532613</v>
      </c>
      <c r="AP418" s="41" t="str">
        <f t="shared" si="390"/>
        <v>2,11547577810156-1,78179272434108i</v>
      </c>
      <c r="AQ418">
        <f t="shared" si="391"/>
        <v>8.8366274542940211</v>
      </c>
      <c r="AR418" s="43">
        <f t="shared" si="392"/>
        <v>-40.106286057982274</v>
      </c>
      <c r="AS418" t="str">
        <f t="shared" si="369"/>
        <v>-0,0000166666666666667</v>
      </c>
      <c r="AT418" t="str">
        <f t="shared" si="370"/>
        <v>0,00208224761079931i</v>
      </c>
      <c r="AU418">
        <f t="shared" si="393"/>
        <v>2.0822476107993102E-3</v>
      </c>
      <c r="AV418">
        <f t="shared" si="394"/>
        <v>1.5707963267948966</v>
      </c>
      <c r="AW418" t="str">
        <f t="shared" si="371"/>
        <v>1+0,700743901488707i</v>
      </c>
      <c r="AX418">
        <f t="shared" si="395"/>
        <v>1.2210823131442101</v>
      </c>
      <c r="AY418">
        <f t="shared" si="396"/>
        <v>0.61122505266852489</v>
      </c>
      <c r="AZ418" t="str">
        <f t="shared" si="372"/>
        <v>1+165,876092109541i</v>
      </c>
      <c r="BA418">
        <f t="shared" si="397"/>
        <v>165.87910638031821</v>
      </c>
      <c r="BB418">
        <f t="shared" si="398"/>
        <v>1.5647678034984478</v>
      </c>
      <c r="BC418" s="41" t="str">
        <f t="shared" si="399"/>
        <v>-0,886689828905668+0,62934666146613i</v>
      </c>
      <c r="BD418">
        <f t="shared" si="400"/>
        <v>0.72726247071094874</v>
      </c>
      <c r="BE418" s="43">
        <f t="shared" si="401"/>
        <v>144.63397520784912</v>
      </c>
      <c r="BF418" s="41" t="str">
        <f t="shared" si="402"/>
        <v>1,13103781595626+1,61192727570298i</v>
      </c>
      <c r="BG418" s="20">
        <f t="shared" si="403"/>
        <v>5.8855808797685247</v>
      </c>
      <c r="BH418" s="43">
        <f t="shared" si="404"/>
        <v>54.9438888673481</v>
      </c>
      <c r="BI418" s="41" t="str">
        <f t="shared" si="357"/>
        <v>-0,754405553250258+2,91126510425204i</v>
      </c>
      <c r="BJ418" s="20">
        <f t="shared" si="405"/>
        <v>9.5638899250049789</v>
      </c>
      <c r="BK418" s="43">
        <f t="shared" si="358"/>
        <v>104.52768914986686</v>
      </c>
      <c r="BL418">
        <f t="shared" si="406"/>
        <v>5.8855808797685247</v>
      </c>
      <c r="BM418" s="43">
        <f t="shared" si="407"/>
        <v>54.9438888673481</v>
      </c>
    </row>
    <row r="419" spans="14:65" x14ac:dyDescent="0.25">
      <c r="N419" s="9">
        <v>1</v>
      </c>
      <c r="O419" s="34">
        <f>10^(5+(N419/100))</f>
        <v>102329.29922807543</v>
      </c>
      <c r="P419" s="33" t="str">
        <f t="shared" si="360"/>
        <v>54,631621870174</v>
      </c>
      <c r="Q419" s="4" t="str">
        <f t="shared" si="361"/>
        <v>1+2562,5734252383i</v>
      </c>
      <c r="R419" s="4">
        <f t="shared" si="373"/>
        <v>2562.5736203546526</v>
      </c>
      <c r="S419" s="4">
        <f t="shared" si="374"/>
        <v>1.5704060940938975</v>
      </c>
      <c r="T419" s="4" t="str">
        <f t="shared" si="362"/>
        <v>1+32,1476974701913i</v>
      </c>
      <c r="U419" s="4">
        <f t="shared" si="375"/>
        <v>32.163246923078887</v>
      </c>
      <c r="V419" s="4">
        <f t="shared" si="376"/>
        <v>1.539699927077496</v>
      </c>
      <c r="W419" t="str">
        <f t="shared" si="363"/>
        <v>1-2,55853162510696i</v>
      </c>
      <c r="X419" s="4">
        <f t="shared" si="377"/>
        <v>2.7470136651775983</v>
      </c>
      <c r="Y419" s="4">
        <f t="shared" si="378"/>
        <v>-1.1982033892828716</v>
      </c>
      <c r="Z419" t="str">
        <f t="shared" si="364"/>
        <v>0,958114858077964+0,351521551776859i</v>
      </c>
      <c r="AA419" s="4">
        <f t="shared" si="379"/>
        <v>1.0205642961780352</v>
      </c>
      <c r="AB419" s="4">
        <f t="shared" si="380"/>
        <v>0.3516405339171691</v>
      </c>
      <c r="AC419" s="47" t="str">
        <f t="shared" si="381"/>
        <v>-0,0180016953636612-1,84555680847313i</v>
      </c>
      <c r="AD419" s="20">
        <f t="shared" si="382"/>
        <v>5.3229615334674669</v>
      </c>
      <c r="AE419" s="43">
        <f t="shared" si="383"/>
        <v>-90.55884947842371</v>
      </c>
      <c r="AF419" t="str">
        <f t="shared" si="365"/>
        <v>171,265703090588</v>
      </c>
      <c r="AG419" t="str">
        <f t="shared" si="366"/>
        <v>1+2538,04955287665i</v>
      </c>
      <c r="AH419">
        <f t="shared" si="384"/>
        <v>2538.049749878312</v>
      </c>
      <c r="AI419">
        <f t="shared" si="385"/>
        <v>1.5704023234756468</v>
      </c>
      <c r="AJ419" t="str">
        <f t="shared" si="367"/>
        <v>1+32,1476974701913i</v>
      </c>
      <c r="AK419">
        <f t="shared" si="386"/>
        <v>32.163246923078887</v>
      </c>
      <c r="AL419">
        <f t="shared" si="387"/>
        <v>1.539699927077496</v>
      </c>
      <c r="AM419" t="str">
        <f t="shared" si="368"/>
        <v>1-0,80832852552554i</v>
      </c>
      <c r="AN419">
        <f t="shared" si="388"/>
        <v>1.2858440827636504</v>
      </c>
      <c r="AO419">
        <f t="shared" si="389"/>
        <v>-0.67979871993279561</v>
      </c>
      <c r="AP419" s="41" t="str">
        <f t="shared" si="390"/>
        <v>2,11547454056971-1,82015509136111i</v>
      </c>
      <c r="AQ419">
        <f t="shared" si="391"/>
        <v>8.914369332594358</v>
      </c>
      <c r="AR419" s="43">
        <f t="shared" si="392"/>
        <v>-40.708715305096639</v>
      </c>
      <c r="AS419" t="str">
        <f t="shared" si="369"/>
        <v>-0,0000166666666666667</v>
      </c>
      <c r="AT419" t="str">
        <f t="shared" si="370"/>
        <v>0,00213074938832428i</v>
      </c>
      <c r="AU419">
        <f t="shared" si="393"/>
        <v>2.1307493883242802E-3</v>
      </c>
      <c r="AV419">
        <f t="shared" si="394"/>
        <v>1.5707963267948966</v>
      </c>
      <c r="AW419" t="str">
        <f t="shared" si="371"/>
        <v>1+0,717066323776869i</v>
      </c>
      <c r="AX419">
        <f t="shared" si="395"/>
        <v>1.2305218863128253</v>
      </c>
      <c r="AY419">
        <f t="shared" si="396"/>
        <v>0.62208828000473615</v>
      </c>
      <c r="AZ419" t="str">
        <f t="shared" si="372"/>
        <v>1+169,73984264261i</v>
      </c>
      <c r="BA419">
        <f t="shared" si="397"/>
        <v>169.74278830141208</v>
      </c>
      <c r="BB419">
        <f t="shared" si="398"/>
        <v>1.564905026230079</v>
      </c>
      <c r="BC419" s="41" t="str">
        <f t="shared" si="399"/>
        <v>-0,873138067231775+0,633919878184108i</v>
      </c>
      <c r="BD419">
        <f t="shared" si="400"/>
        <v>0.66036733019736071</v>
      </c>
      <c r="BE419" s="43">
        <f t="shared" si="401"/>
        <v>144.019420412969</v>
      </c>
      <c r="BF419" s="41" t="str">
        <f t="shared" si="402"/>
        <v>1,18565311270586+1,60001427218463i</v>
      </c>
      <c r="BG419" s="20">
        <f t="shared" si="403"/>
        <v>5.9833288636648216</v>
      </c>
      <c r="BH419" s="43">
        <f t="shared" si="404"/>
        <v>53.460570934545238</v>
      </c>
      <c r="BI419" s="41" t="str">
        <f t="shared" si="357"/>
        <v>-0,693268857839245+2,93028806159265i</v>
      </c>
      <c r="BJ419" s="20">
        <f t="shared" si="405"/>
        <v>9.574736662791727</v>
      </c>
      <c r="BK419" s="43">
        <f t="shared" si="358"/>
        <v>103.31070510787232</v>
      </c>
      <c r="BL419">
        <f t="shared" si="406"/>
        <v>5.9833288636648216</v>
      </c>
      <c r="BM419" s="43">
        <f t="shared" si="407"/>
        <v>53.460570934545238</v>
      </c>
    </row>
    <row r="420" spans="14:65" x14ac:dyDescent="0.25">
      <c r="N420" s="9">
        <v>2</v>
      </c>
      <c r="O420" s="34">
        <f t="shared" ref="O420:O483" si="408">10^(5+(N420/100))</f>
        <v>104712.85480508996</v>
      </c>
      <c r="P420" s="33" t="str">
        <f t="shared" si="360"/>
        <v>54,631621870174</v>
      </c>
      <c r="Q420" s="4" t="str">
        <f t="shared" si="361"/>
        <v>1+2622,26342825124i</v>
      </c>
      <c r="R420" s="4">
        <f t="shared" si="373"/>
        <v>2622.263618926203</v>
      </c>
      <c r="S420" s="4">
        <f t="shared" si="374"/>
        <v>1.570414976873775</v>
      </c>
      <c r="T420" s="4" t="str">
        <f t="shared" si="362"/>
        <v>1+32,8965135392085i</v>
      </c>
      <c r="U420" s="4">
        <f t="shared" si="375"/>
        <v>32.911709208658976</v>
      </c>
      <c r="V420" s="4">
        <f t="shared" si="376"/>
        <v>1.5404073267747527</v>
      </c>
      <c r="W420" t="str">
        <f t="shared" si="363"/>
        <v>1-2,61812748250064i</v>
      </c>
      <c r="X420" s="4">
        <f t="shared" si="377"/>
        <v>2.8026044163643826</v>
      </c>
      <c r="Y420" s="4">
        <f t="shared" si="378"/>
        <v>-1.2059444021221302</v>
      </c>
      <c r="Z420" t="str">
        <f t="shared" si="364"/>
        <v>0,956140872154272+0,359709540568916i</v>
      </c>
      <c r="AA420" s="4">
        <f t="shared" si="379"/>
        <v>1.0215656224541978</v>
      </c>
      <c r="AB420" s="4">
        <f t="shared" si="380"/>
        <v>0.35983087119118901</v>
      </c>
      <c r="AC420" s="47" t="str">
        <f t="shared" si="381"/>
        <v>-0,0469975942846419-1,88052074187684i</v>
      </c>
      <c r="AD420" s="20">
        <f t="shared" si="382"/>
        <v>5.4882742727959304</v>
      </c>
      <c r="AE420" s="43">
        <f t="shared" si="383"/>
        <v>-91.431626530575457</v>
      </c>
      <c r="AF420" t="str">
        <f t="shared" si="365"/>
        <v>171,265703090588</v>
      </c>
      <c r="AG420" t="str">
        <f t="shared" si="366"/>
        <v>1+2597,16832151998i</v>
      </c>
      <c r="AH420">
        <f t="shared" si="384"/>
        <v>2597.168514037337</v>
      </c>
      <c r="AI420">
        <f t="shared" si="385"/>
        <v>1.5704112920852489</v>
      </c>
      <c r="AJ420" t="str">
        <f t="shared" si="367"/>
        <v>1+32,8965135392085i</v>
      </c>
      <c r="AK420">
        <f t="shared" si="386"/>
        <v>32.911709208658976</v>
      </c>
      <c r="AL420">
        <f t="shared" si="387"/>
        <v>1.5404073267747527</v>
      </c>
      <c r="AM420" t="str">
        <f t="shared" si="368"/>
        <v>1-0,82715691563092i</v>
      </c>
      <c r="AN420">
        <f t="shared" si="388"/>
        <v>1.2977629071121031</v>
      </c>
      <c r="AO420">
        <f t="shared" si="389"/>
        <v>-0.69108208749227762</v>
      </c>
      <c r="AP420" s="41" t="str">
        <f t="shared" si="390"/>
        <v>2,11547335873595-1,85948252865929i</v>
      </c>
      <c r="AQ420">
        <f t="shared" si="391"/>
        <v>8.9943213333379681</v>
      </c>
      <c r="AR420" s="43">
        <f t="shared" si="392"/>
        <v>-41.315187491346556</v>
      </c>
      <c r="AS420" t="str">
        <f t="shared" si="369"/>
        <v>-0,0000166666666666667</v>
      </c>
      <c r="AT420" t="str">
        <f t="shared" si="370"/>
        <v>0,00218038091737874i</v>
      </c>
      <c r="AU420">
        <f t="shared" si="393"/>
        <v>2.1803809173787398E-3</v>
      </c>
      <c r="AV420">
        <f t="shared" si="394"/>
        <v>1.5707963267948966</v>
      </c>
      <c r="AW420" t="str">
        <f t="shared" si="371"/>
        <v>1+0,733768944121393i</v>
      </c>
      <c r="AX420">
        <f t="shared" si="395"/>
        <v>1.2403293366509653</v>
      </c>
      <c r="AY420">
        <f t="shared" si="396"/>
        <v>0.63303204907287869</v>
      </c>
      <c r="AZ420" t="str">
        <f t="shared" si="372"/>
        <v>1+173,693591487021i</v>
      </c>
      <c r="BA420">
        <f t="shared" si="397"/>
        <v>173.69647009556684</v>
      </c>
      <c r="BB420">
        <f t="shared" si="398"/>
        <v>1.5650391256053804</v>
      </c>
      <c r="BC420" s="41" t="str">
        <f t="shared" si="399"/>
        <v>-0,859384618747932+0,638233668587816i</v>
      </c>
      <c r="BD420">
        <f t="shared" si="400"/>
        <v>0.59140707958975625</v>
      </c>
      <c r="BE420" s="43">
        <f t="shared" si="401"/>
        <v>143.40007196163876</v>
      </c>
      <c r="BF420" s="41" t="str">
        <f t="shared" si="402"/>
        <v>1,24060066158991+1,58609515379032i</v>
      </c>
      <c r="BG420" s="20">
        <f t="shared" si="403"/>
        <v>6.079681352385685</v>
      </c>
      <c r="BH420" s="43">
        <f t="shared" si="404"/>
        <v>51.968445431063429</v>
      </c>
      <c r="BI420" s="41" t="str">
        <f t="shared" si="357"/>
        <v>-0,631220909927534+2,94817700650614i</v>
      </c>
      <c r="BJ420" s="20">
        <f t="shared" si="405"/>
        <v>9.5857284129277271</v>
      </c>
      <c r="BK420" s="43">
        <f t="shared" si="358"/>
        <v>102.08488447029218</v>
      </c>
      <c r="BL420">
        <f t="shared" si="406"/>
        <v>6.079681352385685</v>
      </c>
      <c r="BM420" s="43">
        <f t="shared" si="407"/>
        <v>51.968445431063429</v>
      </c>
    </row>
    <row r="421" spans="14:65" x14ac:dyDescent="0.25">
      <c r="N421" s="9">
        <v>3</v>
      </c>
      <c r="O421" s="34">
        <f t="shared" si="408"/>
        <v>107151.93052376082</v>
      </c>
      <c r="P421" s="33" t="str">
        <f t="shared" si="360"/>
        <v>54,631621870174</v>
      </c>
      <c r="Q421" s="4" t="str">
        <f t="shared" si="361"/>
        <v>1+2683,34379004361i</v>
      </c>
      <c r="R421" s="4">
        <f t="shared" si="373"/>
        <v>2683.3439763782812</v>
      </c>
      <c r="S421" s="4">
        <f t="shared" si="374"/>
        <v>1.5704236574569548</v>
      </c>
      <c r="T421" s="4" t="str">
        <f t="shared" si="362"/>
        <v>1+33,6627717751411i</v>
      </c>
      <c r="U421" s="4">
        <f t="shared" si="375"/>
        <v>33.677621703220623</v>
      </c>
      <c r="V421" s="4">
        <f t="shared" si="376"/>
        <v>1.5410986534880833</v>
      </c>
      <c r="W421" t="str">
        <f t="shared" si="363"/>
        <v>1-2,67911150574056i</v>
      </c>
      <c r="X421" s="4">
        <f t="shared" si="377"/>
        <v>2.8596570528983802</v>
      </c>
      <c r="Y421" s="4">
        <f t="shared" si="378"/>
        <v>-1.2135536986445077</v>
      </c>
      <c r="Z421" t="str">
        <f t="shared" si="364"/>
        <v>0,954073855140124+0,368088252120702i</v>
      </c>
      <c r="AA421" s="4">
        <f t="shared" si="379"/>
        <v>1.0226171729494924</v>
      </c>
      <c r="AB421" s="4">
        <f t="shared" si="380"/>
        <v>0.36821136665003384</v>
      </c>
      <c r="AC421" s="47" t="str">
        <f t="shared" si="381"/>
        <v>-0,0772378386221812-1,9158318045957i</v>
      </c>
      <c r="AD421" s="20">
        <f t="shared" si="382"/>
        <v>5.6542006254072117</v>
      </c>
      <c r="AE421" s="43">
        <f t="shared" si="383"/>
        <v>-92.308661384233076</v>
      </c>
      <c r="AF421" t="str">
        <f t="shared" si="365"/>
        <v>171,265703090588</v>
      </c>
      <c r="AG421" t="str">
        <f t="shared" si="366"/>
        <v>1+2657,66414318496i</v>
      </c>
      <c r="AH421">
        <f t="shared" si="384"/>
        <v>2657.6643313200871</v>
      </c>
      <c r="AI421">
        <f t="shared" si="385"/>
        <v>1.570420056544432</v>
      </c>
      <c r="AJ421" t="str">
        <f t="shared" si="367"/>
        <v>1+33,6627717751411i</v>
      </c>
      <c r="AK421">
        <f t="shared" si="386"/>
        <v>33.677621703220623</v>
      </c>
      <c r="AL421">
        <f t="shared" si="387"/>
        <v>1.5410986534880833</v>
      </c>
      <c r="AM421" t="str">
        <f t="shared" si="368"/>
        <v>1-0,846423875281684i</v>
      </c>
      <c r="AN421">
        <f t="shared" si="388"/>
        <v>1.3101272368158994</v>
      </c>
      <c r="AO421">
        <f t="shared" si="389"/>
        <v>-0.70241427235949816</v>
      </c>
      <c r="AP421" s="41" t="str">
        <f t="shared" si="390"/>
        <v>2,11547223009347-1,89979588816636i</v>
      </c>
      <c r="AQ421">
        <f t="shared" si="391"/>
        <v>9.0765032752895518</v>
      </c>
      <c r="AR421" s="43">
        <f t="shared" si="392"/>
        <v>-41.925365920482683</v>
      </c>
      <c r="AS421" t="str">
        <f t="shared" si="369"/>
        <v>-0,0000166666666666667</v>
      </c>
      <c r="AT421" t="str">
        <f t="shared" si="370"/>
        <v>0,00223116851325635i</v>
      </c>
      <c r="AU421">
        <f t="shared" si="393"/>
        <v>2.2311685132563501E-3</v>
      </c>
      <c r="AV421">
        <f t="shared" si="394"/>
        <v>1.5707963267948966</v>
      </c>
      <c r="AW421" t="str">
        <f t="shared" si="371"/>
        <v>1+0,75086061847267i</v>
      </c>
      <c r="AX421">
        <f t="shared" si="395"/>
        <v>1.2505165606153166</v>
      </c>
      <c r="AY421">
        <f t="shared" si="396"/>
        <v>0.64405167712208822</v>
      </c>
      <c r="AZ421" t="str">
        <f t="shared" si="372"/>
        <v>1+177,739434972745i</v>
      </c>
      <c r="BA421">
        <f t="shared" si="397"/>
        <v>177.74224805720965</v>
      </c>
      <c r="BB421">
        <f t="shared" si="398"/>
        <v>1.565170172706313</v>
      </c>
      <c r="BC421" s="41" t="str">
        <f t="shared" si="399"/>
        <v>-0,845439847474605+0,642277414091446i</v>
      </c>
      <c r="BD421">
        <f t="shared" si="400"/>
        <v>0.52035196916469562</v>
      </c>
      <c r="BE421" s="43">
        <f t="shared" si="401"/>
        <v>142.77620222841585</v>
      </c>
      <c r="BF421" s="41" t="str">
        <f t="shared" si="402"/>
        <v>1,29579544379388+1,57011242940412i</v>
      </c>
      <c r="BG421" s="20">
        <f t="shared" si="403"/>
        <v>6.1745525945719102</v>
      </c>
      <c r="BH421" s="43">
        <f t="shared" si="404"/>
        <v>50.467540844182807</v>
      </c>
      <c r="BI421" s="41" t="str">
        <f t="shared" si="357"/>
        <v>-0,568308529193934+2,96488317945095i</v>
      </c>
      <c r="BJ421" s="20">
        <f t="shared" si="405"/>
        <v>9.5968552444542539</v>
      </c>
      <c r="BK421" s="43">
        <f t="shared" si="358"/>
        <v>100.85083630793316</v>
      </c>
      <c r="BL421">
        <f t="shared" si="406"/>
        <v>6.1745525945719102</v>
      </c>
      <c r="BM421" s="43">
        <f t="shared" si="407"/>
        <v>50.467540844182807</v>
      </c>
    </row>
    <row r="422" spans="14:65" x14ac:dyDescent="0.25">
      <c r="N422" s="9">
        <v>4</v>
      </c>
      <c r="O422" s="34">
        <f t="shared" si="408"/>
        <v>109647.81961431868</v>
      </c>
      <c r="P422" s="33" t="str">
        <f t="shared" si="360"/>
        <v>54,631621870174</v>
      </c>
      <c r="Q422" s="4" t="str">
        <f t="shared" si="361"/>
        <v>1+2745,8468962317i</v>
      </c>
      <c r="R422" s="4">
        <f t="shared" si="373"/>
        <v>2745.8470783248767</v>
      </c>
      <c r="S422" s="4">
        <f t="shared" si="374"/>
        <v>1.570432140445992</v>
      </c>
      <c r="T422" s="4" t="str">
        <f t="shared" si="362"/>
        <v>1+34,4468784582482i</v>
      </c>
      <c r="U422" s="4">
        <f t="shared" si="375"/>
        <v>34.461390504698493</v>
      </c>
      <c r="V422" s="4">
        <f t="shared" si="376"/>
        <v>1.5417742711232891</v>
      </c>
      <c r="W422" t="str">
        <f t="shared" si="363"/>
        <v>1-2,74151602936306i</v>
      </c>
      <c r="X422" s="4">
        <f t="shared" si="377"/>
        <v>2.918203238168068</v>
      </c>
      <c r="Y422" s="4">
        <f t="shared" si="378"/>
        <v>-1.2210317876848549</v>
      </c>
      <c r="Z422" t="str">
        <f t="shared" si="364"/>
        <v>0,951909422615303+0,376662128935985i</v>
      </c>
      <c r="AA422" s="4">
        <f t="shared" si="379"/>
        <v>1.0237215970362197</v>
      </c>
      <c r="AB422" s="4">
        <f t="shared" si="380"/>
        <v>0.37678633639885062</v>
      </c>
      <c r="AC422" s="47" t="str">
        <f t="shared" si="381"/>
        <v>-0,108769320334809-1,95146452155369i</v>
      </c>
      <c r="AD422" s="20">
        <f t="shared" si="382"/>
        <v>5.8206842706608617</v>
      </c>
      <c r="AE422" s="43">
        <f t="shared" si="383"/>
        <v>-93.190209901535042</v>
      </c>
      <c r="AF422" t="str">
        <f t="shared" si="365"/>
        <v>171,265703090588</v>
      </c>
      <c r="AG422" t="str">
        <f t="shared" si="366"/>
        <v>1+2719,56909355701i</v>
      </c>
      <c r="AH422">
        <f t="shared" si="384"/>
        <v>2719.5692774096592</v>
      </c>
      <c r="AI422">
        <f t="shared" si="385"/>
        <v>1.5704286215002232</v>
      </c>
      <c r="AJ422" t="str">
        <f t="shared" si="367"/>
        <v>1+34,4468784582482i</v>
      </c>
      <c r="AK422">
        <f t="shared" si="386"/>
        <v>34.461390504698493</v>
      </c>
      <c r="AL422">
        <f t="shared" si="387"/>
        <v>1.5417742711232891</v>
      </c>
      <c r="AM422" t="str">
        <f t="shared" si="368"/>
        <v>1-0,866139620074867i</v>
      </c>
      <c r="AN422">
        <f t="shared" si="388"/>
        <v>1.3229504304634527</v>
      </c>
      <c r="AO422">
        <f t="shared" si="389"/>
        <v>-0.713789641707538</v>
      </c>
      <c r="AP422" s="41" t="str">
        <f t="shared" si="390"/>
        <v>2,11547115224823-1,94111654456186i</v>
      </c>
      <c r="AQ422">
        <f t="shared" si="391"/>
        <v>9.160932889112706</v>
      </c>
      <c r="AR422" s="43">
        <f t="shared" si="392"/>
        <v>-42.538907271284643</v>
      </c>
      <c r="AS422" t="str">
        <f t="shared" si="369"/>
        <v>-0,0000166666666666667</v>
      </c>
      <c r="AT422" t="str">
        <f t="shared" si="370"/>
        <v>0,00228313910421269i</v>
      </c>
      <c r="AU422">
        <f t="shared" si="393"/>
        <v>2.2831391042126901E-3</v>
      </c>
      <c r="AV422">
        <f t="shared" si="394"/>
        <v>1.5707963267948966</v>
      </c>
      <c r="AW422" t="str">
        <f t="shared" si="371"/>
        <v>1+0,768350409062676i</v>
      </c>
      <c r="AX422">
        <f t="shared" si="395"/>
        <v>1.2610956946666585</v>
      </c>
      <c r="AY422">
        <f t="shared" si="396"/>
        <v>0.65514230215452129</v>
      </c>
      <c r="AZ422" t="str">
        <f t="shared" si="372"/>
        <v>1+181,879518259551i</v>
      </c>
      <c r="BA422">
        <f t="shared" si="397"/>
        <v>181.88226731137465</v>
      </c>
      <c r="BB422">
        <f t="shared" si="398"/>
        <v>1.5652982369977695</v>
      </c>
      <c r="BC422" s="41" t="str">
        <f t="shared" si="399"/>
        <v>-0,831314818708695+0,646040972044506i</v>
      </c>
      <c r="BD422">
        <f t="shared" si="400"/>
        <v>0.447173871013749</v>
      </c>
      <c r="BE422" s="43">
        <f t="shared" si="401"/>
        <v>142.14809376530212</v>
      </c>
      <c r="BF422" s="41" t="str">
        <f t="shared" si="402"/>
        <v>1,35114758423011+1,55201193751414i</v>
      </c>
      <c r="BG422" s="20">
        <f t="shared" si="403"/>
        <v>6.2678581416746155</v>
      </c>
      <c r="BH422" s="43">
        <f t="shared" si="404"/>
        <v>48.957883863767208</v>
      </c>
      <c r="BI422" s="41" t="str">
        <f t="shared" si="357"/>
        <v>-0,504581698114295+2,98035998786545i</v>
      </c>
      <c r="BJ422" s="20">
        <f t="shared" si="405"/>
        <v>9.6081067601264589</v>
      </c>
      <c r="BK422" s="43">
        <f t="shared" si="358"/>
        <v>99.609186494017479</v>
      </c>
      <c r="BL422">
        <f t="shared" si="406"/>
        <v>6.2678581416746155</v>
      </c>
      <c r="BM422" s="43">
        <f t="shared" si="407"/>
        <v>48.957883863767208</v>
      </c>
    </row>
    <row r="423" spans="14:65" x14ac:dyDescent="0.25">
      <c r="N423" s="9">
        <v>5</v>
      </c>
      <c r="O423" s="34">
        <f t="shared" si="408"/>
        <v>112201.84543019651</v>
      </c>
      <c r="P423" s="33" t="str">
        <f t="shared" si="360"/>
        <v>54,631621870174</v>
      </c>
      <c r="Q423" s="4" t="str">
        <f t="shared" si="361"/>
        <v>1+2809,80588678976i</v>
      </c>
      <c r="R423" s="4">
        <f t="shared" si="373"/>
        <v>2809.8060647379893</v>
      </c>
      <c r="S423" s="4">
        <f t="shared" si="374"/>
        <v>1.570440430338675</v>
      </c>
      <c r="T423" s="4" t="str">
        <f t="shared" si="362"/>
        <v>1+35,2492493322723i</v>
      </c>
      <c r="U423" s="4">
        <f t="shared" si="375"/>
        <v>35.263431178611924</v>
      </c>
      <c r="V423" s="4">
        <f t="shared" si="376"/>
        <v>1.5424345354332367</v>
      </c>
      <c r="W423" t="str">
        <f t="shared" si="363"/>
        <v>1-2,80537414107258i</v>
      </c>
      <c r="X423" s="4">
        <f t="shared" si="377"/>
        <v>2.9782753518435321</v>
      </c>
      <c r="Y423" s="4">
        <f t="shared" si="378"/>
        <v>-1.2283792877324418</v>
      </c>
      <c r="Z423" t="str">
        <f t="shared" si="364"/>
        <v>0,949642983528233+0,385435716997744i</v>
      </c>
      <c r="AA423" s="4">
        <f t="shared" si="379"/>
        <v>1.0248816946857666</v>
      </c>
      <c r="AB423" s="4">
        <f t="shared" si="380"/>
        <v>0.38556018107318463</v>
      </c>
      <c r="AC423" s="47" t="str">
        <f t="shared" si="381"/>
        <v>-0,141640019342025-1,98739072363634i</v>
      </c>
      <c r="AD423" s="20">
        <f t="shared" si="382"/>
        <v>5.9876685331201482</v>
      </c>
      <c r="AE423" s="43">
        <f t="shared" si="383"/>
        <v>-94.076539531716818</v>
      </c>
      <c r="AF423" t="str">
        <f t="shared" si="365"/>
        <v>171,265703090588</v>
      </c>
      <c r="AG423" t="str">
        <f t="shared" si="366"/>
        <v>1+2782,91599546021i</v>
      </c>
      <c r="AH423">
        <f t="shared" si="384"/>
        <v>2782.9161751278625</v>
      </c>
      <c r="AI423">
        <f t="shared" si="385"/>
        <v>1.5704369914938705</v>
      </c>
      <c r="AJ423" t="str">
        <f t="shared" si="367"/>
        <v>1+35,2492493322723i</v>
      </c>
      <c r="AK423">
        <f t="shared" si="386"/>
        <v>35.263431178611924</v>
      </c>
      <c r="AL423">
        <f t="shared" si="387"/>
        <v>1.5424345354332367</v>
      </c>
      <c r="AM423" t="str">
        <f t="shared" si="368"/>
        <v>1-0,886314603559326i</v>
      </c>
      <c r="AN423">
        <f t="shared" si="388"/>
        <v>1.3362460763207222</v>
      </c>
      <c r="AO423">
        <f t="shared" si="389"/>
        <v>-0.72520245206898526</v>
      </c>
      <c r="AP423" s="41" t="str">
        <f t="shared" si="390"/>
        <v>2,11547012291402-1,98346640660732i</v>
      </c>
      <c r="AQ423">
        <f t="shared" si="391"/>
        <v>9.2476257434224483</v>
      </c>
      <c r="AR423" s="43">
        <f t="shared" si="392"/>
        <v>-43.155462344366178</v>
      </c>
      <c r="AS423" t="str">
        <f t="shared" si="369"/>
        <v>-0,0000166666666666667</v>
      </c>
      <c r="AT423" t="str">
        <f t="shared" si="370"/>
        <v>0,00233632024574301i</v>
      </c>
      <c r="AU423">
        <f t="shared" si="393"/>
        <v>2.3363202457430099E-3</v>
      </c>
      <c r="AV423">
        <f t="shared" si="394"/>
        <v>1.5707963267948966</v>
      </c>
      <c r="AW423" t="str">
        <f t="shared" si="371"/>
        <v>1+0,786247589209888i</v>
      </c>
      <c r="AX423">
        <f t="shared" si="395"/>
        <v>1.2720791137104488</v>
      </c>
      <c r="AY423">
        <f t="shared" si="396"/>
        <v>0.66629889166069167</v>
      </c>
      <c r="AZ423" t="str">
        <f t="shared" si="372"/>
        <v>1+186,116036474398i</v>
      </c>
      <c r="BA423">
        <f t="shared" si="397"/>
        <v>186.11872295107617</v>
      </c>
      <c r="BB423">
        <f t="shared" si="398"/>
        <v>1.5654233863643205</v>
      </c>
      <c r="BC423" s="41" t="str">
        <f t="shared" si="399"/>
        <v>-0,817021272437235+0,649514731010228i</v>
      </c>
      <c r="BD423">
        <f t="shared" si="400"/>
        <v>0.3718463831536411</v>
      </c>
      <c r="BE423" s="43">
        <f t="shared" si="401"/>
        <v>141.51603880335074</v>
      </c>
      <c r="BF423" s="41" t="str">
        <f t="shared" si="402"/>
        <v>1,40656246010574+1,5317432187921i</v>
      </c>
      <c r="BG423" s="20">
        <f t="shared" si="403"/>
        <v>6.3595149162738007</v>
      </c>
      <c r="BH423" s="43">
        <f t="shared" si="404"/>
        <v>47.439499271633835</v>
      </c>
      <c r="BI423" s="41" t="str">
        <f t="shared" si="357"/>
        <v>-0,44009344207079+2,9945632552075i</v>
      </c>
      <c r="BJ423" s="20">
        <f t="shared" si="405"/>
        <v>9.619472126576099</v>
      </c>
      <c r="BK423" s="43">
        <f t="shared" si="358"/>
        <v>98.360576458984582</v>
      </c>
      <c r="BL423">
        <f t="shared" si="406"/>
        <v>6.3595149162738007</v>
      </c>
      <c r="BM423" s="43">
        <f t="shared" si="407"/>
        <v>47.439499271633835</v>
      </c>
    </row>
    <row r="424" spans="14:65" x14ac:dyDescent="0.25">
      <c r="N424" s="9">
        <v>6</v>
      </c>
      <c r="O424" s="34">
        <f t="shared" si="408"/>
        <v>114815.36214968823</v>
      </c>
      <c r="P424" s="33" t="str">
        <f t="shared" si="360"/>
        <v>54,631621870174</v>
      </c>
      <c r="Q424" s="4" t="str">
        <f t="shared" si="361"/>
        <v>1+2875,25467362117i</v>
      </c>
      <c r="R424" s="4">
        <f t="shared" si="373"/>
        <v>2875.2548475188037</v>
      </c>
      <c r="S424" s="4">
        <f t="shared" si="374"/>
        <v>1.5704485315304098</v>
      </c>
      <c r="T424" s="4" t="str">
        <f t="shared" si="362"/>
        <v>1+36,0703098248712i</v>
      </c>
      <c r="U424" s="4">
        <f t="shared" si="375"/>
        <v>36.084168978406588</v>
      </c>
      <c r="V424" s="4">
        <f t="shared" si="376"/>
        <v>1.5430797941947525</v>
      </c>
      <c r="W424" t="str">
        <f t="shared" si="363"/>
        <v>1-2,8707196992852i</v>
      </c>
      <c r="X424" s="4">
        <f t="shared" si="377"/>
        <v>3.0399065103822043</v>
      </c>
      <c r="Y424" s="4">
        <f t="shared" si="378"/>
        <v>-1.2355969202802772</v>
      </c>
      <c r="Z424" t="str">
        <f t="shared" si="364"/>
        <v>0,947269730457744+0,394413668178498i</v>
      </c>
      <c r="AA424" s="4">
        <f t="shared" si="379"/>
        <v>1.0261004258295117</v>
      </c>
      <c r="AB424" s="4">
        <f t="shared" si="380"/>
        <v>0.39453738578730396</v>
      </c>
      <c r="AC424" s="47" t="str">
        <f t="shared" si="381"/>
        <v>-0,175898949742372-2,02357936660754i</v>
      </c>
      <c r="AD424" s="20">
        <f t="shared" si="382"/>
        <v>6.1550963399644676</v>
      </c>
      <c r="AE424" s="43">
        <f t="shared" si="383"/>
        <v>-94.967928917094895</v>
      </c>
      <c r="AF424" t="str">
        <f t="shared" si="365"/>
        <v>171,265703090588</v>
      </c>
      <c r="AG424" t="str">
        <f t="shared" si="366"/>
        <v>1+2847,73843626044i</v>
      </c>
      <c r="AH424">
        <f t="shared" si="384"/>
        <v>2847.7386118383574</v>
      </c>
      <c r="AI424">
        <f t="shared" si="385"/>
        <v>1.5704451709632501</v>
      </c>
      <c r="AJ424" t="str">
        <f t="shared" si="367"/>
        <v>1+36,0703098248712i</v>
      </c>
      <c r="AK424">
        <f t="shared" si="386"/>
        <v>36.084168978406588</v>
      </c>
      <c r="AL424">
        <f t="shared" si="387"/>
        <v>1.5430797941947525</v>
      </c>
      <c r="AM424" t="str">
        <f t="shared" si="368"/>
        <v>1-0,90695952277835i</v>
      </c>
      <c r="AN424">
        <f t="shared" si="388"/>
        <v>1.3500279908054991</v>
      </c>
      <c r="AO424">
        <f t="shared" si="389"/>
        <v>-0.7366468632282539</v>
      </c>
      <c r="AP424" s="41" t="str">
        <f t="shared" si="390"/>
        <v>2,11546913990748-2,02686792876253i</v>
      </c>
      <c r="AQ424">
        <f t="shared" si="391"/>
        <v>9.336595178925446</v>
      </c>
      <c r="AR424" s="43">
        <f t="shared" si="392"/>
        <v>-43.774676848149909</v>
      </c>
      <c r="AS424" t="str">
        <f t="shared" si="369"/>
        <v>-0,0000166666666666667</v>
      </c>
      <c r="AT424" t="str">
        <f t="shared" si="370"/>
        <v>0,00239074013519246i</v>
      </c>
      <c r="AU424">
        <f t="shared" si="393"/>
        <v>2.3907401351924598E-3</v>
      </c>
      <c r="AV424">
        <f t="shared" si="394"/>
        <v>1.5707963267948966</v>
      </c>
      <c r="AW424" t="str">
        <f t="shared" si="371"/>
        <v>1+0,804561648236113i</v>
      </c>
      <c r="AX424">
        <f t="shared" si="395"/>
        <v>1.2834794294465381</v>
      </c>
      <c r="AY424">
        <f t="shared" si="396"/>
        <v>0.67751625230503976</v>
      </c>
      <c r="AZ424" t="str">
        <f t="shared" si="372"/>
        <v>1+190,45123587532i</v>
      </c>
      <c r="BA424">
        <f t="shared" si="397"/>
        <v>190.4538612011759</v>
      </c>
      <c r="BB424">
        <f t="shared" si="398"/>
        <v>1.5655456871461266</v>
      </c>
      <c r="BC424" s="41" t="str">
        <f t="shared" si="399"/>
        <v>-0,802571591655952+0,652689664422431i</v>
      </c>
      <c r="BD424">
        <f t="shared" si="400"/>
        <v>0.2943449292302901</v>
      </c>
      <c r="BE424" s="43">
        <f t="shared" si="401"/>
        <v>140.8803386997821</v>
      </c>
      <c r="BF424" s="41" t="str">
        <f t="shared" si="402"/>
        <v>1,46194083778858+1,50925988662075i</v>
      </c>
      <c r="BG424" s="20">
        <f t="shared" si="403"/>
        <v>6.449441269194768</v>
      </c>
      <c r="BH424" s="43">
        <f t="shared" si="404"/>
        <v>45.912409782687142</v>
      </c>
      <c r="BI424" s="41" t="str">
        <f t="shared" si="357"/>
        <v>-0,37489968646199+3,00745146268557i</v>
      </c>
      <c r="BJ424" s="20">
        <f t="shared" si="405"/>
        <v>9.6309401081557411</v>
      </c>
      <c r="BK424" s="43">
        <f t="shared" si="358"/>
        <v>97.105661851632178</v>
      </c>
      <c r="BL424">
        <f t="shared" si="406"/>
        <v>6.449441269194768</v>
      </c>
      <c r="BM424" s="43">
        <f t="shared" si="407"/>
        <v>45.912409782687142</v>
      </c>
    </row>
    <row r="425" spans="14:65" x14ac:dyDescent="0.25">
      <c r="N425" s="9">
        <v>7</v>
      </c>
      <c r="O425" s="34">
        <f t="shared" si="408"/>
        <v>117489.75549395311</v>
      </c>
      <c r="P425" s="33" t="str">
        <f t="shared" si="360"/>
        <v>54,631621870174</v>
      </c>
      <c r="Q425" s="4" t="str">
        <f t="shared" si="361"/>
        <v>1+2942,22795853903i</v>
      </c>
      <c r="R425" s="4">
        <f t="shared" si="373"/>
        <v>2942.2281284782707</v>
      </c>
      <c r="S425" s="4">
        <f t="shared" si="374"/>
        <v>1.5704564483165511</v>
      </c>
      <c r="T425" s="4" t="str">
        <f t="shared" si="362"/>
        <v>1+36,9104952731864i</v>
      </c>
      <c r="U425" s="4">
        <f t="shared" si="375"/>
        <v>36.924039070934747</v>
      </c>
      <c r="V425" s="4">
        <f t="shared" si="376"/>
        <v>1.5437103873820688</v>
      </c>
      <c r="W425" t="str">
        <f t="shared" si="363"/>
        <v>1-2,93758735108086i</v>
      </c>
      <c r="X425" s="4">
        <f t="shared" si="377"/>
        <v>3.1031305878467736</v>
      </c>
      <c r="Y425" s="4">
        <f t="shared" si="378"/>
        <v>-1.2426855032931043</v>
      </c>
      <c r="Z425" t="str">
        <f t="shared" si="364"/>
        <v>0,944784629415884+0,403600742706804i</v>
      </c>
      <c r="AA425" s="4">
        <f t="shared" si="379"/>
        <v>1.0273809203474595</v>
      </c>
      <c r="AB425" s="4">
        <f t="shared" si="380"/>
        <v>0.40372251984527968</v>
      </c>
      <c r="AC425" s="47" t="str">
        <f t="shared" si="381"/>
        <v>-0,211596094088571-2,05999634168521i</v>
      </c>
      <c r="AD425" s="20">
        <f t="shared" si="382"/>
        <v>6.3229101716763374</v>
      </c>
      <c r="AE425" s="43">
        <f t="shared" si="383"/>
        <v>-95.864667492452099</v>
      </c>
      <c r="AF425" t="str">
        <f t="shared" si="365"/>
        <v>171,265703090588</v>
      </c>
      <c r="AG425" t="str">
        <f t="shared" si="366"/>
        <v>1+2914,07078567387i</v>
      </c>
      <c r="AH425">
        <f t="shared" si="384"/>
        <v>2914.0709572551464</v>
      </c>
      <c r="AI425">
        <f t="shared" si="385"/>
        <v>1.5704531642452213</v>
      </c>
      <c r="AJ425" t="str">
        <f t="shared" si="367"/>
        <v>1+36,9104952731864i</v>
      </c>
      <c r="AK425">
        <f t="shared" si="386"/>
        <v>36.924039070934747</v>
      </c>
      <c r="AL425">
        <f t="shared" si="387"/>
        <v>1.5437103873820688</v>
      </c>
      <c r="AM425" t="str">
        <f t="shared" si="368"/>
        <v>1-0,928085323941385i</v>
      </c>
      <c r="AN425">
        <f t="shared" si="388"/>
        <v>1.3643102171117041</v>
      </c>
      <c r="AO425">
        <f t="shared" si="389"/>
        <v>-0.74811695271624878</v>
      </c>
      <c r="AP425" s="41" t="str">
        <f t="shared" si="390"/>
        <v>2,11546820114349-2,07134412309128i</v>
      </c>
      <c r="AQ425">
        <f t="shared" si="391"/>
        <v>9.4278522512047775</v>
      </c>
      <c r="AR425" s="43">
        <f t="shared" si="392"/>
        <v>-44.39619221954807</v>
      </c>
      <c r="AS425" t="str">
        <f t="shared" si="369"/>
        <v>-0,0000166666666666667</v>
      </c>
      <c r="AT425" t="str">
        <f t="shared" si="370"/>
        <v>0,0024464276267068i</v>
      </c>
      <c r="AU425">
        <f t="shared" si="393"/>
        <v>2.4464276267067999E-3</v>
      </c>
      <c r="AV425">
        <f t="shared" si="394"/>
        <v>1.5707963267948966</v>
      </c>
      <c r="AW425" t="str">
        <f t="shared" si="371"/>
        <v>1+0,823302296497869i</v>
      </c>
      <c r="AX425">
        <f t="shared" si="395"/>
        <v>1.2953094886623293</v>
      </c>
      <c r="AY425">
        <f t="shared" si="396"/>
        <v>0.68878904052883627</v>
      </c>
      <c r="AZ425" t="str">
        <f t="shared" si="372"/>
        <v>1+194,887415042424i</v>
      </c>
      <c r="BA425">
        <f t="shared" si="397"/>
        <v>194.88998060936339</v>
      </c>
      <c r="BB425">
        <f t="shared" si="398"/>
        <v>1.5656652041740382</v>
      </c>
      <c r="BC425" s="41" t="str">
        <f t="shared" si="399"/>
        <v>-0,78797876569311+0,65555738208562i</v>
      </c>
      <c r="BD425">
        <f t="shared" si="400"/>
        <v>0.21464685305114026</v>
      </c>
      <c r="BE425" s="43">
        <f t="shared" si="401"/>
        <v>140.24130333249298</v>
      </c>
      <c r="BF425" s="41" t="str">
        <f t="shared" si="402"/>
        <v>1,51717903790651+1,48451999315319i</v>
      </c>
      <c r="BG425" s="20">
        <f t="shared" si="403"/>
        <v>6.5375570247274979</v>
      </c>
      <c r="BH425" s="43">
        <f t="shared" si="404"/>
        <v>44.376635840040841</v>
      </c>
      <c r="BI425" s="41" t="str">
        <f t="shared" si="357"/>
        <v>-0,309059091267917+3,01898598126615i</v>
      </c>
      <c r="BJ425" s="20">
        <f t="shared" si="405"/>
        <v>9.6424991042559292</v>
      </c>
      <c r="BK425" s="43">
        <f t="shared" si="358"/>
        <v>95.845111112944878</v>
      </c>
      <c r="BL425">
        <f t="shared" si="406"/>
        <v>6.5375570247274979</v>
      </c>
      <c r="BM425" s="43">
        <f t="shared" si="407"/>
        <v>44.376635840040841</v>
      </c>
    </row>
    <row r="426" spans="14:65" x14ac:dyDescent="0.25">
      <c r="N426" s="9">
        <v>8</v>
      </c>
      <c r="O426" s="34">
        <f t="shared" si="408"/>
        <v>120226.44346174144</v>
      </c>
      <c r="P426" s="33" t="str">
        <f t="shared" si="360"/>
        <v>54,631621870174</v>
      </c>
      <c r="Q426" s="4" t="str">
        <f t="shared" si="361"/>
        <v>1+3010,7612516655i</v>
      </c>
      <c r="R426" s="4">
        <f t="shared" si="373"/>
        <v>3010.7614177364517</v>
      </c>
      <c r="S426" s="4">
        <f t="shared" si="374"/>
        <v>1.5704641848946799</v>
      </c>
      <c r="T426" s="4" t="str">
        <f t="shared" si="362"/>
        <v>1+37,7702511546635i</v>
      </c>
      <c r="U426" s="4">
        <f t="shared" si="375"/>
        <v>37.783486767189174</v>
      </c>
      <c r="V426" s="4">
        <f t="shared" si="376"/>
        <v>1.5443266473368602</v>
      </c>
      <c r="W426" t="str">
        <f t="shared" si="363"/>
        <v>1-3,00601255057363i</v>
      </c>
      <c r="X426" s="4">
        <f t="shared" si="377"/>
        <v>3.1679822370408233</v>
      </c>
      <c r="Y426" s="4">
        <f t="shared" si="378"/>
        <v>-1.2496459448133257</v>
      </c>
      <c r="Z426" t="str">
        <f t="shared" si="364"/>
        <v>0,942182409170163+0,413001811691181i</v>
      </c>
      <c r="AA426" s="4">
        <f t="shared" si="379"/>
        <v>1.0287264887276355</v>
      </c>
      <c r="AB426" s="4">
        <f t="shared" si="380"/>
        <v>0.41312023618381766</v>
      </c>
      <c r="AC426" s="47" t="str">
        <f t="shared" si="381"/>
        <v>-0,248782324402119-2,09660427784189i</v>
      </c>
      <c r="AD426" s="20">
        <f t="shared" si="382"/>
        <v>6.4910520060776564</v>
      </c>
      <c r="AE426" s="43">
        <f t="shared" si="383"/>
        <v>-96.767055077150005</v>
      </c>
      <c r="AF426" t="str">
        <f t="shared" si="365"/>
        <v>171,265703090588</v>
      </c>
      <c r="AG426" t="str">
        <f t="shared" si="366"/>
        <v>1+2981,94821399014i</v>
      </c>
      <c r="AH426">
        <f t="shared" si="384"/>
        <v>2981.9483816657503</v>
      </c>
      <c r="AI426">
        <f t="shared" si="385"/>
        <v>1.5704609755779233</v>
      </c>
      <c r="AJ426" t="str">
        <f t="shared" si="367"/>
        <v>1+37,7702511546635i</v>
      </c>
      <c r="AK426">
        <f t="shared" si="386"/>
        <v>37.783486767189174</v>
      </c>
      <c r="AL426">
        <f t="shared" si="387"/>
        <v>1.5443266473368602</v>
      </c>
      <c r="AM426" t="str">
        <f t="shared" si="368"/>
        <v>1-0,949703208227832i</v>
      </c>
      <c r="AN426">
        <f t="shared" si="388"/>
        <v>1.3791070240261403</v>
      </c>
      <c r="AO426">
        <f t="shared" si="389"/>
        <v>-0.75960673082263963</v>
      </c>
      <c r="AP426" s="41" t="str">
        <f t="shared" si="390"/>
        <v>2,11546730463084-2,11691857146255i</v>
      </c>
      <c r="AQ426">
        <f t="shared" si="391"/>
        <v>9.5214056826368463</v>
      </c>
      <c r="AR426" s="43">
        <f t="shared" si="392"/>
        <v>-45.01964647448974</v>
      </c>
      <c r="AS426" t="str">
        <f t="shared" si="369"/>
        <v>-0,0000166666666666667</v>
      </c>
      <c r="AT426" t="str">
        <f t="shared" si="370"/>
        <v>0,0025034122465311i</v>
      </c>
      <c r="AU426">
        <f t="shared" si="393"/>
        <v>2.5034122465310998E-3</v>
      </c>
      <c r="AV426">
        <f t="shared" si="394"/>
        <v>1.5707963267948966</v>
      </c>
      <c r="AW426" t="str">
        <f t="shared" si="371"/>
        <v>1+0,842479470534921i</v>
      </c>
      <c r="AX426">
        <f t="shared" si="395"/>
        <v>1.3075823715058263</v>
      </c>
      <c r="AY426">
        <f t="shared" si="396"/>
        <v>0.70011177402816438</v>
      </c>
      <c r="AZ426" t="str">
        <f t="shared" si="372"/>
        <v>1+199,426926096623i</v>
      </c>
      <c r="BA426">
        <f t="shared" si="397"/>
        <v>199.42943326487176</v>
      </c>
      <c r="BB426">
        <f t="shared" si="398"/>
        <v>1.5657820008038998</v>
      </c>
      <c r="BC426" s="41" t="str">
        <f t="shared" si="399"/>
        <v>-0,773256348702742+0,658110178988163i</v>
      </c>
      <c r="BD426">
        <f t="shared" si="400"/>
        <v>0.13273150720366261</v>
      </c>
      <c r="BE426" s="43">
        <f t="shared" si="401"/>
        <v>139.59925044438248</v>
      </c>
      <c r="BF426" s="41" t="str">
        <f t="shared" si="402"/>
        <v>1,57216912834684+1,4574863885172i</v>
      </c>
      <c r="BG426" s="20">
        <f t="shared" si="403"/>
        <v>6.6237835132813299</v>
      </c>
      <c r="BH426" s="43">
        <f t="shared" si="404"/>
        <v>42.832195367232451</v>
      </c>
      <c r="BI426" s="41" t="str">
        <f t="shared" si="357"/>
        <v>-0,242632863810289+3,02913129156436i</v>
      </c>
      <c r="BJ426" s="20">
        <f t="shared" si="405"/>
        <v>9.6541371898404975</v>
      </c>
      <c r="BK426" s="43">
        <f t="shared" si="358"/>
        <v>94.57960396989273</v>
      </c>
      <c r="BL426">
        <f t="shared" si="406"/>
        <v>6.6237835132813299</v>
      </c>
      <c r="BM426" s="43">
        <f t="shared" si="407"/>
        <v>42.832195367232451</v>
      </c>
    </row>
    <row r="427" spans="14:65" x14ac:dyDescent="0.25">
      <c r="N427" s="9">
        <v>9</v>
      </c>
      <c r="O427" s="34">
        <f t="shared" si="408"/>
        <v>123026.87708123829</v>
      </c>
      <c r="P427" s="33" t="str">
        <f t="shared" si="360"/>
        <v>54,631621870174</v>
      </c>
      <c r="Q427" s="4" t="str">
        <f t="shared" si="361"/>
        <v>1+3080,89089025974i</v>
      </c>
      <c r="R427" s="4">
        <f t="shared" si="373"/>
        <v>3080.8910525504552</v>
      </c>
      <c r="S427" s="4">
        <f t="shared" si="374"/>
        <v>1.5704717453668287</v>
      </c>
      <c r="T427" s="4" t="str">
        <f t="shared" si="362"/>
        <v>1+38,6500333232513i</v>
      </c>
      <c r="U427" s="4">
        <f t="shared" si="375"/>
        <v>38.662967758417565</v>
      </c>
      <c r="V427" s="4">
        <f t="shared" si="376"/>
        <v>1.5449288989349124</v>
      </c>
      <c r="W427" t="str">
        <f t="shared" si="363"/>
        <v>1-3,07603157770999i</v>
      </c>
      <c r="X427" s="4">
        <f t="shared" si="377"/>
        <v>3.2344969109691553</v>
      </c>
      <c r="Y427" s="4">
        <f t="shared" si="378"/>
        <v>-1.2564792367216091</v>
      </c>
      <c r="Z427" t="str">
        <f t="shared" si="364"/>
        <v>0,939457550062551+0,422621859702841i</v>
      </c>
      <c r="AA427" s="4">
        <f t="shared" si="379"/>
        <v>1.0301406334419676</v>
      </c>
      <c r="AB427" s="4">
        <f t="shared" si="380"/>
        <v>0.42273527051280196</v>
      </c>
      <c r="AC427" s="47" t="str">
        <f t="shared" si="381"/>
        <v>-0,287509308505172-2,13336233598603i</v>
      </c>
      <c r="AD427" s="20">
        <f t="shared" si="382"/>
        <v>6.6594632557993974</v>
      </c>
      <c r="AE427" s="43">
        <f t="shared" si="383"/>
        <v>-97.675401458971564</v>
      </c>
      <c r="AF427" t="str">
        <f t="shared" si="365"/>
        <v>171,265703090588</v>
      </c>
      <c r="AG427" t="str">
        <f t="shared" si="366"/>
        <v>1+3051,40671072022i</v>
      </c>
      <c r="AH427">
        <f t="shared" si="384"/>
        <v>3051.4068745790678</v>
      </c>
      <c r="AI427">
        <f t="shared" si="385"/>
        <v>1.5704686091030244</v>
      </c>
      <c r="AJ427" t="str">
        <f t="shared" si="367"/>
        <v>1+38,6500333232513i</v>
      </c>
      <c r="AK427">
        <f t="shared" si="386"/>
        <v>38.662967758417565</v>
      </c>
      <c r="AL427">
        <f t="shared" si="387"/>
        <v>1.5449288989349124</v>
      </c>
      <c r="AM427" t="str">
        <f t="shared" si="368"/>
        <v>1-0,97182463772609i</v>
      </c>
      <c r="AN427">
        <f t="shared" si="388"/>
        <v>1.3944329049801736</v>
      </c>
      <c r="AO427">
        <f t="shared" si="389"/>
        <v>-0.77111015603507571</v>
      </c>
      <c r="AP427" s="41" t="str">
        <f t="shared" si="390"/>
        <v>2,1154664484679-2,16361543805408i</v>
      </c>
      <c r="AQ427">
        <f t="shared" si="391"/>
        <v>9.6172618238551433</v>
      </c>
      <c r="AR427" s="43">
        <f t="shared" si="392"/>
        <v>-45.644675083104445</v>
      </c>
      <c r="AS427" t="str">
        <f t="shared" si="369"/>
        <v>-0,0000166666666666667</v>
      </c>
      <c r="AT427" t="str">
        <f t="shared" si="370"/>
        <v>0,00256172420866509i</v>
      </c>
      <c r="AU427">
        <f t="shared" si="393"/>
        <v>2.56172420866509E-3</v>
      </c>
      <c r="AV427">
        <f t="shared" si="394"/>
        <v>1.5707963267948966</v>
      </c>
      <c r="AW427" t="str">
        <f t="shared" si="371"/>
        <v>1+0,862103338338784i</v>
      </c>
      <c r="AX427">
        <f t="shared" si="395"/>
        <v>1.3203113897770009</v>
      </c>
      <c r="AY427">
        <f t="shared" si="396"/>
        <v>0.71147884405569306</v>
      </c>
      <c r="AZ427" t="str">
        <f t="shared" si="372"/>
        <v>1+204,072175946767i</v>
      </c>
      <c r="BA427">
        <f t="shared" si="397"/>
        <v>204.07462604559203</v>
      </c>
      <c r="BB427">
        <f t="shared" si="398"/>
        <v>1.5658961389500772</v>
      </c>
      <c r="BC427" s="41" t="str">
        <f t="shared" si="399"/>
        <v>-0,758418413554365+0,66034108091142i</v>
      </c>
      <c r="BD427">
        <f t="shared" si="400"/>
        <v>4.8580335043676155E-2</v>
      </c>
      <c r="BE427" s="43">
        <f t="shared" si="401"/>
        <v>138.95450494043294</v>
      </c>
      <c r="BF427" s="41" t="str">
        <f t="shared" si="402"/>
        <v>1,62679914455933+1,42812707084476i</v>
      </c>
      <c r="BG427" s="20">
        <f t="shared" si="403"/>
        <v>6.7080435908430687</v>
      </c>
      <c r="BH427" s="43">
        <f t="shared" si="404"/>
        <v>41.279103481461405</v>
      </c>
      <c r="BI427" s="41" t="str">
        <f t="shared" si="357"/>
        <v>-0,175684550733245+3,03785518928384i</v>
      </c>
      <c r="BJ427" s="20">
        <f t="shared" si="405"/>
        <v>9.6658421588988102</v>
      </c>
      <c r="BK427" s="43">
        <f t="shared" si="358"/>
        <v>93.309829857328467</v>
      </c>
      <c r="BL427">
        <f t="shared" si="406"/>
        <v>6.7080435908430687</v>
      </c>
      <c r="BM427" s="43">
        <f t="shared" si="407"/>
        <v>41.279103481461405</v>
      </c>
    </row>
    <row r="428" spans="14:65" x14ac:dyDescent="0.25">
      <c r="N428" s="9">
        <v>10</v>
      </c>
      <c r="O428" s="34">
        <f t="shared" si="408"/>
        <v>125892.54117941685</v>
      </c>
      <c r="P428" s="33" t="str">
        <f t="shared" si="360"/>
        <v>54,631621870174</v>
      </c>
      <c r="Q428" s="4" t="str">
        <f t="shared" si="361"/>
        <v>1+3152,6540579844i</v>
      </c>
      <c r="R428" s="4">
        <f t="shared" si="373"/>
        <v>3152.6542165809283</v>
      </c>
      <c r="S428" s="4">
        <f t="shared" si="374"/>
        <v>1.5704791337416562</v>
      </c>
      <c r="T428" s="4" t="str">
        <f t="shared" si="362"/>
        <v>1+39,5503082511007i</v>
      </c>
      <c r="U428" s="4">
        <f t="shared" si="375"/>
        <v>39.562948357738513</v>
      </c>
      <c r="V428" s="4">
        <f t="shared" si="376"/>
        <v>1.5455174597494665</v>
      </c>
      <c r="W428" t="str">
        <f t="shared" si="363"/>
        <v>1-3,14768155750495i</v>
      </c>
      <c r="X428" s="4">
        <f t="shared" si="377"/>
        <v>3.3027108846305016</v>
      </c>
      <c r="Y428" s="4">
        <f t="shared" si="378"/>
        <v>-1.2631864486664559</v>
      </c>
      <c r="Z428" t="str">
        <f t="shared" si="364"/>
        <v>0,936604272301555+0,432465987418577i</v>
      </c>
      <c r="AA428" s="4">
        <f t="shared" si="379"/>
        <v>1.0316270610872176</v>
      </c>
      <c r="AB428" s="4">
        <f t="shared" si="380"/>
        <v>0.43257244011604185</v>
      </c>
      <c r="AC428" s="47" t="str">
        <f t="shared" si="381"/>
        <v>-0,32782940013928-2,17022599528338i</v>
      </c>
      <c r="AD428" s="20">
        <f t="shared" si="382"/>
        <v>6.8280846992705939</v>
      </c>
      <c r="AE428" s="43">
        <f t="shared" si="383"/>
        <v>-98.590025968365481</v>
      </c>
      <c r="AF428" t="str">
        <f t="shared" si="365"/>
        <v>171,265703090588</v>
      </c>
      <c r="AG428" t="str">
        <f t="shared" si="366"/>
        <v>1+3122,48310367847i</v>
      </c>
      <c r="AH428">
        <f t="shared" si="384"/>
        <v>3122.4832638074349</v>
      </c>
      <c r="AI428">
        <f t="shared" si="385"/>
        <v>1.5704760688679174</v>
      </c>
      <c r="AJ428" t="str">
        <f t="shared" si="367"/>
        <v>1+39,5503082511007i</v>
      </c>
      <c r="AK428">
        <f t="shared" si="386"/>
        <v>39.562948357738513</v>
      </c>
      <c r="AL428">
        <f t="shared" si="387"/>
        <v>1.5455174597494665</v>
      </c>
      <c r="AM428" t="str">
        <f t="shared" si="368"/>
        <v>1-0,994461341510891i</v>
      </c>
      <c r="AN428">
        <f t="shared" si="388"/>
        <v>1.4103025773782167</v>
      </c>
      <c r="AO428">
        <f t="shared" si="389"/>
        <v>-0.78262115080956207</v>
      </c>
      <c r="AP428" s="41" t="str">
        <f t="shared" si="390"/>
        <v>2,11546563083863-2,21145948216443i</v>
      </c>
      <c r="AQ428">
        <f t="shared" si="391"/>
        <v>9.7154246250944798</v>
      </c>
      <c r="AR428" s="43">
        <f t="shared" si="392"/>
        <v>-46.270911864063336</v>
      </c>
      <c r="AS428" t="str">
        <f t="shared" si="369"/>
        <v>-0,0000166666666666667</v>
      </c>
      <c r="AT428" t="str">
        <f t="shared" si="370"/>
        <v>0,00262139443088295i</v>
      </c>
      <c r="AU428">
        <f t="shared" si="393"/>
        <v>2.62139443088295E-3</v>
      </c>
      <c r="AV428">
        <f t="shared" si="394"/>
        <v>1.5707963267948966</v>
      </c>
      <c r="AW428" t="str">
        <f t="shared" si="371"/>
        <v>1+0,882184304743923i</v>
      </c>
      <c r="AX428">
        <f t="shared" si="395"/>
        <v>1.3335100852773925</v>
      </c>
      <c r="AY428">
        <f t="shared" si="396"/>
        <v>0.72288452848602647</v>
      </c>
      <c r="AZ428" t="str">
        <f t="shared" si="372"/>
        <v>1+208,825627565811i</v>
      </c>
      <c r="BA428">
        <f t="shared" si="397"/>
        <v>208.82802189422475</v>
      </c>
      <c r="BB428">
        <f t="shared" si="398"/>
        <v>1.5660076791182236</v>
      </c>
      <c r="BC428" s="41" t="str">
        <f t="shared" si="399"/>
        <v>-0,743479501409015+0,66224388633949i</v>
      </c>
      <c r="BD428">
        <f t="shared" si="400"/>
        <v>-3.7823054620651143E-2</v>
      </c>
      <c r="BE428" s="43">
        <f t="shared" si="401"/>
        <v>138.30739814099758</v>
      </c>
      <c r="BF428" s="41" t="str">
        <f t="shared" si="402"/>
        <v>1,68095333631422+1,39641552491359i</v>
      </c>
      <c r="BG428" s="20">
        <f t="shared" si="403"/>
        <v>6.7902616446499362</v>
      </c>
      <c r="BH428" s="43">
        <f t="shared" si="404"/>
        <v>39.717372172632111</v>
      </c>
      <c r="BI428" s="41" t="str">
        <f t="shared" si="357"/>
        <v>-0,108279810512924+3,04512897397004i</v>
      </c>
      <c r="BJ428" s="20">
        <f t="shared" si="405"/>
        <v>9.6776015704738167</v>
      </c>
      <c r="BK428" s="43">
        <f t="shared" si="358"/>
        <v>92.036486276934241</v>
      </c>
      <c r="BL428">
        <f t="shared" si="406"/>
        <v>6.7902616446499362</v>
      </c>
      <c r="BM428" s="43">
        <f t="shared" si="407"/>
        <v>39.717372172632111</v>
      </c>
    </row>
    <row r="429" spans="14:65" x14ac:dyDescent="0.25">
      <c r="N429" s="9">
        <v>11</v>
      </c>
      <c r="O429" s="34">
        <f t="shared" si="408"/>
        <v>128824.95516931375</v>
      </c>
      <c r="P429" s="33" t="str">
        <f t="shared" si="360"/>
        <v>54,631621870174</v>
      </c>
      <c r="Q429" s="4" t="str">
        <f t="shared" si="361"/>
        <v>1+3226,08880462093i</v>
      </c>
      <c r="R429" s="4">
        <f t="shared" si="373"/>
        <v>3226.0889596073603</v>
      </c>
      <c r="S429" s="4">
        <f t="shared" si="374"/>
        <v>1.5704863539365737</v>
      </c>
      <c r="T429" s="4" t="str">
        <f t="shared" si="362"/>
        <v>1+40,471553275895i</v>
      </c>
      <c r="U429" s="4">
        <f t="shared" si="375"/>
        <v>40.483905747390615</v>
      </c>
      <c r="V429" s="4">
        <f t="shared" si="376"/>
        <v>1.5460926402112851</v>
      </c>
      <c r="W429" t="str">
        <f t="shared" si="363"/>
        <v>1-3,22100047972619i</v>
      </c>
      <c r="X429" s="4">
        <f t="shared" si="377"/>
        <v>3.3726612771513746</v>
      </c>
      <c r="Y429" s="4">
        <f t="shared" si="378"/>
        <v>-1.2697687221747453</v>
      </c>
      <c r="Z429" t="str">
        <f t="shared" si="364"/>
        <v>0,933616523702497+0,442539414325207i</v>
      </c>
      <c r="AA429" s="4">
        <f t="shared" si="379"/>
        <v>1.0331896953423569</v>
      </c>
      <c r="AB429" s="4">
        <f t="shared" si="380"/>
        <v>0.44263664227112365</v>
      </c>
      <c r="AC429" s="47" t="str">
        <f t="shared" si="381"/>
        <v>-0,369795511229618-2,20714683200126i</v>
      </c>
      <c r="AD429" s="20">
        <f t="shared" si="382"/>
        <v>6.9968564053227205</v>
      </c>
      <c r="AE429" s="43">
        <f t="shared" si="383"/>
        <v>-99.511257041419242</v>
      </c>
      <c r="AF429" t="str">
        <f t="shared" si="365"/>
        <v>171,265703090588</v>
      </c>
      <c r="AG429" t="str">
        <f t="shared" si="366"/>
        <v>1+3195,21507850924i</v>
      </c>
      <c r="AH429">
        <f t="shared" si="384"/>
        <v>3195.2152349932248</v>
      </c>
      <c r="AI429">
        <f t="shared" si="385"/>
        <v>1.5704833588278648</v>
      </c>
      <c r="AJ429" t="str">
        <f t="shared" si="367"/>
        <v>1+40,471553275895i</v>
      </c>
      <c r="AK429">
        <f t="shared" si="386"/>
        <v>40.483905747390615</v>
      </c>
      <c r="AL429">
        <f t="shared" si="387"/>
        <v>1.5460926402112851</v>
      </c>
      <c r="AM429" t="str">
        <f t="shared" si="368"/>
        <v>1-1,01762532186221i</v>
      </c>
      <c r="AN429">
        <f t="shared" si="388"/>
        <v>1.426730982244083</v>
      </c>
      <c r="AO429">
        <f t="shared" si="389"/>
        <v>-0.79413361757237766</v>
      </c>
      <c r="AP429" s="41" t="str">
        <f t="shared" si="390"/>
        <v>2,11546485000873-2,26047607134077i</v>
      </c>
      <c r="AQ429">
        <f t="shared" si="391"/>
        <v>9.8158956176648005</v>
      </c>
      <c r="AR429" s="43">
        <f t="shared" si="392"/>
        <v>-46.897989892374497</v>
      </c>
      <c r="AS429" t="str">
        <f t="shared" si="369"/>
        <v>-0,0000166666666666667</v>
      </c>
      <c r="AT429" t="str">
        <f t="shared" si="370"/>
        <v>0,00268245455112632i</v>
      </c>
      <c r="AU429">
        <f t="shared" si="393"/>
        <v>2.6824545511263198E-3</v>
      </c>
      <c r="AV429">
        <f t="shared" si="394"/>
        <v>1.5707963267948966</v>
      </c>
      <c r="AW429" t="str">
        <f t="shared" si="371"/>
        <v>1+0,902733016944527i</v>
      </c>
      <c r="AX429">
        <f t="shared" si="395"/>
        <v>1.347192228259118</v>
      </c>
      <c r="AY429">
        <f t="shared" si="396"/>
        <v>0.7343230055760972</v>
      </c>
      <c r="AZ429" t="str">
        <f t="shared" si="372"/>
        <v>1+213,689801296726i</v>
      </c>
      <c r="BA429">
        <f t="shared" si="397"/>
        <v>213.69214112417481</v>
      </c>
      <c r="BB429">
        <f t="shared" si="398"/>
        <v>1.5661166804373052</v>
      </c>
      <c r="BC429" s="41" t="str">
        <f t="shared" si="399"/>
        <v>-0,728454567331385+0,66381320420429i</v>
      </c>
      <c r="BD429">
        <f t="shared" si="400"/>
        <v>-0.12649282077548316</v>
      </c>
      <c r="BE429" s="43">
        <f t="shared" si="401"/>
        <v>137.6582669952243</v>
      </c>
      <c r="BF429" s="41" t="str">
        <f t="shared" si="402"/>
        <v>1,73451243983396+1,36233104733262i</v>
      </c>
      <c r="BG429" s="20">
        <f t="shared" si="403"/>
        <v>6.8703635845472277</v>
      </c>
      <c r="BH429" s="43">
        <f t="shared" si="404"/>
        <v>38.147009953805131</v>
      </c>
      <c r="BI429" s="41" t="str">
        <f t="shared" si="357"/>
        <v>-0,0404861680740209+3,05092761897733i</v>
      </c>
      <c r="BJ429" s="20">
        <f t="shared" si="405"/>
        <v>9.6894027968893113</v>
      </c>
      <c r="BK429" s="43">
        <f t="shared" si="358"/>
        <v>90.760277102849798</v>
      </c>
      <c r="BL429">
        <f t="shared" si="406"/>
        <v>6.8703635845472277</v>
      </c>
      <c r="BM429" s="43">
        <f t="shared" si="407"/>
        <v>38.147009953805131</v>
      </c>
    </row>
    <row r="430" spans="14:65" x14ac:dyDescent="0.25">
      <c r="N430" s="9">
        <v>12</v>
      </c>
      <c r="O430" s="34">
        <f t="shared" si="408"/>
        <v>131825.67385564081</v>
      </c>
      <c r="P430" s="33" t="str">
        <f t="shared" si="360"/>
        <v>54,631621870174</v>
      </c>
      <c r="Q430" s="4" t="str">
        <f t="shared" si="361"/>
        <v>1+3301,23406624398i</v>
      </c>
      <c r="R430" s="4">
        <f t="shared" si="373"/>
        <v>3301.2342177024889</v>
      </c>
      <c r="S430" s="4">
        <f t="shared" si="374"/>
        <v>1.5704934097798207</v>
      </c>
      <c r="T430" s="4" t="str">
        <f t="shared" si="362"/>
        <v>1+41,4142568539405i</v>
      </c>
      <c r="U430" s="4">
        <f t="shared" si="375"/>
        <v>41.426328231743611</v>
      </c>
      <c r="V430" s="4">
        <f t="shared" si="376"/>
        <v>1.546654743765483</v>
      </c>
      <c r="W430" t="str">
        <f t="shared" si="363"/>
        <v>1-3,29602721903675i</v>
      </c>
      <c r="X430" s="4">
        <f t="shared" si="377"/>
        <v>3.4443860742708758</v>
      </c>
      <c r="Y430" s="4">
        <f t="shared" si="378"/>
        <v>-1.2762272649531383</v>
      </c>
      <c r="Z430" t="str">
        <f t="shared" si="364"/>
        <v>0,930487966850025+0,452847481487013i</v>
      </c>
      <c r="AA430" s="4">
        <f t="shared" si="379"/>
        <v>1.0348326907968377</v>
      </c>
      <c r="AB430" s="4">
        <f t="shared" si="380"/>
        <v>0.45293285224335084</v>
      </c>
      <c r="AC430" s="47" t="str">
        <f t="shared" si="381"/>
        <v>-0,413460964541417-2,24407229140047i</v>
      </c>
      <c r="AD430" s="20">
        <f t="shared" si="382"/>
        <v>7.1657176515118826</v>
      </c>
      <c r="AE430" s="43">
        <f t="shared" si="383"/>
        <v>-100.43943176954919</v>
      </c>
      <c r="AF430" t="str">
        <f t="shared" si="365"/>
        <v>171,265703090588</v>
      </c>
      <c r="AG430" t="str">
        <f t="shared" si="366"/>
        <v>1+3269,6411986683i</v>
      </c>
      <c r="AH430">
        <f t="shared" si="384"/>
        <v>3269.6413515902746</v>
      </c>
      <c r="AI430">
        <f t="shared" si="385"/>
        <v>1.5704904828480968</v>
      </c>
      <c r="AJ430" t="str">
        <f t="shared" si="367"/>
        <v>1+41,4142568539405i</v>
      </c>
      <c r="AK430">
        <f t="shared" si="386"/>
        <v>41.426328231743611</v>
      </c>
      <c r="AL430">
        <f t="shared" si="387"/>
        <v>1.546654743765483</v>
      </c>
      <c r="AM430" t="str">
        <f t="shared" si="368"/>
        <v>1-1,04132886062905i</v>
      </c>
      <c r="AN430">
        <f t="shared" si="388"/>
        <v>1.4437332842249622</v>
      </c>
      <c r="AO430">
        <f t="shared" si="389"/>
        <v>-0.80564145485112804</v>
      </c>
      <c r="AP430" s="41" t="str">
        <f t="shared" si="390"/>
        <v>2,11546410432195-2,31069119482909i</v>
      </c>
      <c r="AQ430">
        <f t="shared" si="391"/>
        <v>9.9186739057132858</v>
      </c>
      <c r="AR430" s="43">
        <f t="shared" si="392"/>
        <v>-47.525542414757986</v>
      </c>
      <c r="AS430" t="str">
        <f t="shared" si="369"/>
        <v>-0,0000166666666666667</v>
      </c>
      <c r="AT430" t="str">
        <f t="shared" si="370"/>
        <v>0,00274493694427918i</v>
      </c>
      <c r="AU430">
        <f t="shared" si="393"/>
        <v>2.7449369442791799E-3</v>
      </c>
      <c r="AV430">
        <f t="shared" si="394"/>
        <v>1.5707963267948966</v>
      </c>
      <c r="AW430" t="str">
        <f t="shared" si="371"/>
        <v>1+0,923760370139795i</v>
      </c>
      <c r="AX430">
        <f t="shared" si="395"/>
        <v>1.3613718160153054</v>
      </c>
      <c r="AY430">
        <f t="shared" si="396"/>
        <v>0.7457883683442752</v>
      </c>
      <c r="AZ430" t="str">
        <f t="shared" si="372"/>
        <v>1+218,667276188806i</v>
      </c>
      <c r="BA430">
        <f t="shared" si="397"/>
        <v>218.669562755843</v>
      </c>
      <c r="BB430">
        <f t="shared" si="398"/>
        <v>1.5662232006908972</v>
      </c>
      <c r="BC430" s="41" t="str">
        <f t="shared" si="399"/>
        <v>-0,71335892234406+0,665044487038673i</v>
      </c>
      <c r="BD430">
        <f t="shared" si="400"/>
        <v>-0.21744083195058742</v>
      </c>
      <c r="BE430" s="43">
        <f t="shared" si="401"/>
        <v>137.00745325898473</v>
      </c>
      <c r="BF430" s="41" t="str">
        <f t="shared" si="402"/>
        <v>1,78735397400873+1,32585905638164i</v>
      </c>
      <c r="BG430" s="20">
        <f t="shared" si="403"/>
        <v>6.9482768195613023</v>
      </c>
      <c r="BH430" s="43">
        <f t="shared" si="404"/>
        <v>36.568021489435409</v>
      </c>
      <c r="BI430" s="41" t="str">
        <f t="shared" si="357"/>
        <v>0,0276272466532423+3,05522992072071i</v>
      </c>
      <c r="BJ430" s="20">
        <f t="shared" si="405"/>
        <v>9.7012330737627117</v>
      </c>
      <c r="BK430" s="43">
        <f t="shared" si="358"/>
        <v>89.481910844226746</v>
      </c>
      <c r="BL430">
        <f t="shared" si="406"/>
        <v>6.9482768195613023</v>
      </c>
      <c r="BM430" s="43">
        <f t="shared" si="407"/>
        <v>36.568021489435409</v>
      </c>
    </row>
    <row r="431" spans="14:65" x14ac:dyDescent="0.25">
      <c r="N431" s="9">
        <v>13</v>
      </c>
      <c r="O431" s="34">
        <f t="shared" si="408"/>
        <v>134896.28825916545</v>
      </c>
      <c r="P431" s="33" t="str">
        <f t="shared" si="360"/>
        <v>54,631621870174</v>
      </c>
      <c r="Q431" s="4" t="str">
        <f t="shared" si="361"/>
        <v>1+3378,12968586596i</v>
      </c>
      <c r="R431" s="4">
        <f t="shared" si="373"/>
        <v>3378.129833876852</v>
      </c>
      <c r="S431" s="4">
        <f t="shared" si="374"/>
        <v>1.5705003050124959</v>
      </c>
      <c r="T431" s="4" t="str">
        <f t="shared" si="362"/>
        <v>1+42,3789188191525i</v>
      </c>
      <c r="U431" s="4">
        <f t="shared" si="375"/>
        <v>42.390715496206461</v>
      </c>
      <c r="V431" s="4">
        <f t="shared" si="376"/>
        <v>1.547204067025171</v>
      </c>
      <c r="W431" t="str">
        <f t="shared" si="363"/>
        <v>1-3,37280155560692i</v>
      </c>
      <c r="X431" s="4">
        <f t="shared" si="377"/>
        <v>3.5179241511869548</v>
      </c>
      <c r="Y431" s="4">
        <f t="shared" si="378"/>
        <v>-1.2825633453882159</v>
      </c>
      <c r="Z431" t="str">
        <f t="shared" si="364"/>
        <v>0,9272119656556+0,463395654377649i</v>
      </c>
      <c r="AA431" s="4">
        <f t="shared" si="379"/>
        <v>1.036560447707229</v>
      </c>
      <c r="AB431" s="4">
        <f t="shared" si="380"/>
        <v>0.46346612080462346</v>
      </c>
      <c r="AC431" s="47" t="str">
        <f t="shared" si="381"/>
        <v>-0,458879324863007-2,28094545336444i</v>
      </c>
      <c r="AD431" s="20">
        <f t="shared" si="382"/>
        <v>7.3346068362719699</v>
      </c>
      <c r="AE431" s="43">
        <f t="shared" si="383"/>
        <v>-101.37489543353577</v>
      </c>
      <c r="AF431" t="str">
        <f t="shared" si="365"/>
        <v>171,265703090588</v>
      </c>
      <c r="AG431" t="str">
        <f t="shared" si="366"/>
        <v>1+3345,80092586972i</v>
      </c>
      <c r="AH431">
        <f t="shared" si="384"/>
        <v>3345.8010753107656</v>
      </c>
      <c r="AI431">
        <f t="shared" si="385"/>
        <v>1.5704974447058604</v>
      </c>
      <c r="AJ431" t="str">
        <f t="shared" si="367"/>
        <v>1+42,3789188191525i</v>
      </c>
      <c r="AK431">
        <f t="shared" si="386"/>
        <v>42.390715496206461</v>
      </c>
      <c r="AL431">
        <f t="shared" si="387"/>
        <v>1.547204067025171</v>
      </c>
      <c r="AM431" t="str">
        <f t="shared" si="368"/>
        <v>1-1,06558452574141i</v>
      </c>
      <c r="AN431">
        <f t="shared" si="388"/>
        <v>1.4613248719910112</v>
      </c>
      <c r="AO431">
        <f t="shared" si="389"/>
        <v>-0.8171385734309411</v>
      </c>
      <c r="AP431" s="41" t="str">
        <f t="shared" si="390"/>
        <v>2,11546339219661-2,36213147735397i</v>
      </c>
      <c r="AQ431">
        <f t="shared" si="391"/>
        <v>10.023756168342501</v>
      </c>
      <c r="AR431" s="43">
        <f t="shared" si="392"/>
        <v>-48.153203766641475</v>
      </c>
      <c r="AS431" t="str">
        <f t="shared" si="369"/>
        <v>-0,0000166666666666667</v>
      </c>
      <c r="AT431" t="str">
        <f t="shared" si="370"/>
        <v>0,00280887473933343i</v>
      </c>
      <c r="AU431">
        <f t="shared" si="393"/>
        <v>2.8088747393334298E-3</v>
      </c>
      <c r="AV431">
        <f t="shared" si="394"/>
        <v>1.5707963267948966</v>
      </c>
      <c r="AW431" t="str">
        <f t="shared" si="371"/>
        <v>1+0,945277513310728i</v>
      </c>
      <c r="AX431">
        <f t="shared" si="395"/>
        <v>1.3760630716543896</v>
      </c>
      <c r="AY431">
        <f t="shared" si="396"/>
        <v>0.75727463948481277</v>
      </c>
      <c r="AZ431" t="str">
        <f t="shared" si="372"/>
        <v>1+223,760691365125i</v>
      </c>
      <c r="BA431">
        <f t="shared" si="397"/>
        <v>223.76292588406758</v>
      </c>
      <c r="BB431">
        <f t="shared" si="398"/>
        <v>1.5663272963477735</v>
      </c>
      <c r="BC431" s="41" t="str">
        <f t="shared" si="399"/>
        <v>-0,698208172382131+0,665934059156316i</v>
      </c>
      <c r="BD431">
        <f t="shared" si="400"/>
        <v>-0.31067661697261439</v>
      </c>
      <c r="BE431" s="43">
        <f t="shared" si="401"/>
        <v>136.35530264209365</v>
      </c>
      <c r="BF431" s="41" t="str">
        <f t="shared" si="402"/>
        <v>1,83935255922967+1,28699138482798i</v>
      </c>
      <c r="BG431" s="20">
        <f t="shared" si="403"/>
        <v>7.0239302192993414</v>
      </c>
      <c r="BH431" s="43">
        <f t="shared" si="404"/>
        <v>34.980407208557807</v>
      </c>
      <c r="BI431" s="41" t="str">
        <f t="shared" si="357"/>
        <v>0,0959899741683365+3,0580186254917i</v>
      </c>
      <c r="BJ431" s="20">
        <f t="shared" si="405"/>
        <v>9.7130795513698978</v>
      </c>
      <c r="BK431" s="43">
        <f t="shared" si="358"/>
        <v>88.202098875452208</v>
      </c>
      <c r="BL431">
        <f t="shared" si="406"/>
        <v>7.0239302192993414</v>
      </c>
      <c r="BM431" s="43">
        <f t="shared" si="407"/>
        <v>34.980407208557807</v>
      </c>
    </row>
    <row r="432" spans="14:65" x14ac:dyDescent="0.25">
      <c r="N432" s="9">
        <v>14</v>
      </c>
      <c r="O432" s="34">
        <f t="shared" si="408"/>
        <v>138038.42646028858</v>
      </c>
      <c r="P432" s="33" t="str">
        <f t="shared" si="360"/>
        <v>54,631621870174</v>
      </c>
      <c r="Q432" s="4" t="str">
        <f t="shared" si="361"/>
        <v>1+3456,81643456223i</v>
      </c>
      <c r="R432" s="4">
        <f t="shared" si="373"/>
        <v>3456.8165792039831</v>
      </c>
      <c r="S432" s="4">
        <f t="shared" si="374"/>
        <v>1.5705070432905408</v>
      </c>
      <c r="T432" s="4" t="str">
        <f t="shared" si="362"/>
        <v>1+43,3660506480737i</v>
      </c>
      <c r="U432" s="4">
        <f t="shared" si="375"/>
        <v>43.377578872169593</v>
      </c>
      <c r="V432" s="4">
        <f t="shared" si="376"/>
        <v>1.54774089992196</v>
      </c>
      <c r="W432" t="str">
        <f t="shared" si="363"/>
        <v>1-3,45136419620619i</v>
      </c>
      <c r="X432" s="4">
        <f t="shared" si="377"/>
        <v>3.5933152957754761</v>
      </c>
      <c r="Y432" s="4">
        <f t="shared" si="378"/>
        <v>-1.2887782872513931</v>
      </c>
      <c r="Z432" t="str">
        <f t="shared" si="364"/>
        <v>0,92378157128147+0,474189525778002i</v>
      </c>
      <c r="AA432" s="4">
        <f t="shared" si="379"/>
        <v>1.0383776277428305</v>
      </c>
      <c r="AB432" s="4">
        <f t="shared" si="380"/>
        <v>0.47424157122366328</v>
      </c>
      <c r="AC432" s="47" t="str">
        <f t="shared" si="381"/>
        <v>-0,506104206740344-2,31770479264467i</v>
      </c>
      <c r="AD432" s="20">
        <f t="shared" si="382"/>
        <v>7.5034613850258802</v>
      </c>
      <c r="AE432" s="43">
        <f t="shared" si="383"/>
        <v>-102.31800101918196</v>
      </c>
      <c r="AF432" t="str">
        <f t="shared" si="365"/>
        <v>171,265703090588</v>
      </c>
      <c r="AG432" t="str">
        <f t="shared" si="366"/>
        <v>1+3423,73464100894i</v>
      </c>
      <c r="AH432">
        <f t="shared" si="384"/>
        <v>3423.7347870482922</v>
      </c>
      <c r="AI432">
        <f t="shared" si="385"/>
        <v>1.5705042480924221</v>
      </c>
      <c r="AJ432" t="str">
        <f t="shared" si="367"/>
        <v>1+43,3660506480737i</v>
      </c>
      <c r="AK432">
        <f t="shared" si="386"/>
        <v>43.377578872169593</v>
      </c>
      <c r="AL432">
        <f t="shared" si="387"/>
        <v>1.54774089992196</v>
      </c>
      <c r="AM432" t="str">
        <f t="shared" si="368"/>
        <v>1-1,09040517787399i</v>
      </c>
      <c r="AN432">
        <f t="shared" si="388"/>
        <v>1.4795213590666436</v>
      </c>
      <c r="AO432">
        <f t="shared" si="389"/>
        <v>-0.82861891243159957</v>
      </c>
      <c r="AP432" s="41" t="str">
        <f t="shared" si="390"/>
        <v>2,11546271212218-2,41482419323548i</v>
      </c>
      <c r="AQ432">
        <f t="shared" si="391"/>
        <v>10.131136672059712</v>
      </c>
      <c r="AR432" s="43">
        <f t="shared" si="392"/>
        <v>-48.780610284805242</v>
      </c>
      <c r="AS432" t="str">
        <f t="shared" si="369"/>
        <v>-0,0000166666666666667</v>
      </c>
      <c r="AT432" t="str">
        <f t="shared" si="370"/>
        <v>0,00287430183695433i</v>
      </c>
      <c r="AU432">
        <f t="shared" si="393"/>
        <v>2.8743018369543302E-3</v>
      </c>
      <c r="AV432">
        <f t="shared" si="394"/>
        <v>1.5707963267948966</v>
      </c>
      <c r="AW432" t="str">
        <f t="shared" si="371"/>
        <v>1+0,967295855131445i</v>
      </c>
      <c r="AX432">
        <f t="shared" si="395"/>
        <v>1.3912804431006975</v>
      </c>
      <c r="AY432">
        <f t="shared" si="396"/>
        <v>0.76877578672802194</v>
      </c>
      <c r="AZ432" t="str">
        <f t="shared" si="372"/>
        <v>1+228,972747421829i</v>
      </c>
      <c r="BA432">
        <f t="shared" si="397"/>
        <v>228.97493107740135</v>
      </c>
      <c r="BB432">
        <f t="shared" si="398"/>
        <v>1.5664290225918001</v>
      </c>
      <c r="BC432" s="41" t="str">
        <f t="shared" si="399"/>
        <v>-0,683018154651785+0,666479139529593i</v>
      </c>
      <c r="BD432">
        <f t="shared" si="400"/>
        <v>-0.40620732515580599</v>
      </c>
      <c r="BE432" s="43">
        <f t="shared" si="401"/>
        <v>135.70216392994772</v>
      </c>
      <c r="BF432" s="41" t="str">
        <f t="shared" si="402"/>
        <v>1,89038025723473+1,24572655427915i</v>
      </c>
      <c r="BG432" s="20">
        <f t="shared" si="403"/>
        <v>7.0972540598700826</v>
      </c>
      <c r="BH432" s="43">
        <f t="shared" si="404"/>
        <v>33.384162910765774</v>
      </c>
      <c r="BI432" s="41" t="str">
        <f t="shared" si="357"/>
        <v>0,164530512554475+3,05928053235431i</v>
      </c>
      <c r="BJ432" s="20">
        <f t="shared" si="405"/>
        <v>9.7249293469039007</v>
      </c>
      <c r="BK432" s="43">
        <f t="shared" si="358"/>
        <v>86.921553645142481</v>
      </c>
      <c r="BL432">
        <f t="shared" si="406"/>
        <v>7.0972540598700826</v>
      </c>
      <c r="BM432" s="43">
        <f t="shared" si="407"/>
        <v>33.384162910765774</v>
      </c>
    </row>
    <row r="433" spans="14:65" x14ac:dyDescent="0.25">
      <c r="N433" s="9">
        <v>15</v>
      </c>
      <c r="O433" s="34">
        <f t="shared" si="408"/>
        <v>141253.75446227577</v>
      </c>
      <c r="P433" s="33" t="str">
        <f t="shared" si="360"/>
        <v>54,631621870174</v>
      </c>
      <c r="Q433" s="4" t="str">
        <f t="shared" si="361"/>
        <v>1+3537,33603308848i</v>
      </c>
      <c r="R433" s="4">
        <f t="shared" si="373"/>
        <v>3537.3361744377844</v>
      </c>
      <c r="S433" s="4">
        <f t="shared" si="374"/>
        <v>1.5705136281866767</v>
      </c>
      <c r="T433" s="4" t="str">
        <f t="shared" si="362"/>
        <v>1+44,3761757310662i</v>
      </c>
      <c r="U433" s="4">
        <f t="shared" si="375"/>
        <v>44.387441608122316</v>
      </c>
      <c r="V433" s="4">
        <f t="shared" si="376"/>
        <v>1.5482655258533711</v>
      </c>
      <c r="W433" t="str">
        <f t="shared" si="363"/>
        <v>1-3,5317567957865i</v>
      </c>
      <c r="X433" s="4">
        <f t="shared" si="377"/>
        <v>3.6706002321942011</v>
      </c>
      <c r="Y433" s="4">
        <f t="shared" si="378"/>
        <v>-1.2948734646129563</v>
      </c>
      <c r="Z433" t="str">
        <f t="shared" si="364"/>
        <v>0,920189507401244+0,485234818741565i</v>
      </c>
      <c r="AA433" s="4">
        <f t="shared" si="379"/>
        <v>1.0402891707840198</v>
      </c>
      <c r="AB433" s="4">
        <f t="shared" si="380"/>
        <v>0.48526439566938967</v>
      </c>
      <c r="AC433" s="47" t="str">
        <f t="shared" si="381"/>
        <v>-0,555189056682214-2,35428393481766i</v>
      </c>
      <c r="AD433" s="20">
        <f t="shared" si="382"/>
        <v>7.6722176503974637</v>
      </c>
      <c r="AE433" s="43">
        <f t="shared" si="383"/>
        <v>-103.26910871150093</v>
      </c>
      <c r="AF433" t="str">
        <f t="shared" si="365"/>
        <v>171,265703090588</v>
      </c>
      <c r="AG433" t="str">
        <f t="shared" si="366"/>
        <v>1+3503,48366557332i</v>
      </c>
      <c r="AH433">
        <f t="shared" si="384"/>
        <v>3503.4838082884112</v>
      </c>
      <c r="AI433">
        <f t="shared" si="385"/>
        <v>1.5705108966150245</v>
      </c>
      <c r="AJ433" t="str">
        <f t="shared" si="367"/>
        <v>1+44,3761757310662i</v>
      </c>
      <c r="AK433">
        <f t="shared" si="386"/>
        <v>44.387441608122316</v>
      </c>
      <c r="AL433">
        <f t="shared" si="387"/>
        <v>1.5482655258533711</v>
      </c>
      <c r="AM433" t="str">
        <f t="shared" si="368"/>
        <v>1-1,11580397726511i</v>
      </c>
      <c r="AN433">
        <f t="shared" si="388"/>
        <v>1.4983385851270861</v>
      </c>
      <c r="AO433">
        <f t="shared" si="389"/>
        <v>-0.84007645520226903</v>
      </c>
      <c r="AP433" s="41" t="str">
        <f t="shared" si="390"/>
        <v>2,11546206265613-2,46879728085037i</v>
      </c>
      <c r="AQ433">
        <f t="shared" si="391"/>
        <v>10.240807293439424</v>
      </c>
      <c r="AR433" s="43">
        <f t="shared" si="392"/>
        <v>-49.407401209747555</v>
      </c>
      <c r="AS433" t="str">
        <f t="shared" si="369"/>
        <v>-0,0000166666666666667</v>
      </c>
      <c r="AT433" t="str">
        <f t="shared" si="370"/>
        <v>0,00294125292745507i</v>
      </c>
      <c r="AU433">
        <f t="shared" si="393"/>
        <v>2.9412529274550699E-3</v>
      </c>
      <c r="AV433">
        <f t="shared" si="394"/>
        <v>1.5707963267948966</v>
      </c>
      <c r="AW433" t="str">
        <f t="shared" si="371"/>
        <v>1+0,989827070018229i</v>
      </c>
      <c r="AX433">
        <f t="shared" si="395"/>
        <v>1.4070386023634434</v>
      </c>
      <c r="AY433">
        <f t="shared" si="396"/>
        <v>0.78028573855143046</v>
      </c>
      <c r="AZ433" t="str">
        <f t="shared" si="372"/>
        <v>1+234,306207860029i</v>
      </c>
      <c r="BA433">
        <f t="shared" si="397"/>
        <v>234.30834180999</v>
      </c>
      <c r="BB433">
        <f t="shared" si="398"/>
        <v>1.566528433351152</v>
      </c>
      <c r="BC433" s="41" t="str">
        <f t="shared" si="399"/>
        <v>-0,667804871935698+0,66667785909561i</v>
      </c>
      <c r="BD433">
        <f t="shared" si="400"/>
        <v>-0.50403769628145889</v>
      </c>
      <c r="BE433" s="43">
        <f t="shared" si="401"/>
        <v>135.04838808501651</v>
      </c>
      <c r="BF433" s="41" t="str">
        <f t="shared" si="402"/>
        <v>1,94030693026519+1,20207002988897i</v>
      </c>
      <c r="BG433" s="20">
        <f t="shared" si="403"/>
        <v>7.168179954115999</v>
      </c>
      <c r="BH433" s="43">
        <f t="shared" si="404"/>
        <v>31.779279373515635</v>
      </c>
      <c r="BI433" s="41" t="str">
        <f t="shared" si="357"/>
        <v>0,233176613901483+3,05900657090305i</v>
      </c>
      <c r="BJ433" s="20">
        <f t="shared" si="405"/>
        <v>9.7367695971579593</v>
      </c>
      <c r="BK433" s="43">
        <f t="shared" si="358"/>
        <v>85.640986875268965</v>
      </c>
      <c r="BL433">
        <f t="shared" si="406"/>
        <v>7.168179954115999</v>
      </c>
      <c r="BM433" s="43">
        <f t="shared" si="407"/>
        <v>31.779279373515635</v>
      </c>
    </row>
    <row r="434" spans="14:65" x14ac:dyDescent="0.25">
      <c r="N434" s="9">
        <v>16</v>
      </c>
      <c r="O434" s="34">
        <f t="shared" si="408"/>
        <v>144543.97707459307</v>
      </c>
      <c r="P434" s="33" t="str">
        <f t="shared" si="360"/>
        <v>54,631621870174</v>
      </c>
      <c r="Q434" s="4" t="str">
        <f t="shared" si="361"/>
        <v>1+3619,73117400164i</v>
      </c>
      <c r="R434" s="4">
        <f t="shared" si="373"/>
        <v>3619.7313121334423</v>
      </c>
      <c r="S434" s="4">
        <f t="shared" si="374"/>
        <v>1.5705200631923004</v>
      </c>
      <c r="T434" s="4" t="str">
        <f t="shared" si="362"/>
        <v>1+45,4098296498193i</v>
      </c>
      <c r="U434" s="4">
        <f t="shared" si="375"/>
        <v>45.420839147087634</v>
      </c>
      <c r="V434" s="4">
        <f t="shared" si="376"/>
        <v>1.5487782218272035</v>
      </c>
      <c r="W434" t="str">
        <f t="shared" si="363"/>
        <v>1-3,61402197956826i</v>
      </c>
      <c r="X434" s="4">
        <f t="shared" si="377"/>
        <v>3.7498206448845632</v>
      </c>
      <c r="Y434" s="4">
        <f t="shared" si="378"/>
        <v>-1.3008502969680407</v>
      </c>
      <c r="Z434" t="str">
        <f t="shared" si="364"/>
        <v>0,916428154765838+0,496537389628865i</v>
      </c>
      <c r="AA434" s="4">
        <f t="shared" si="379"/>
        <v>1.0423003128402899</v>
      </c>
      <c r="AB434" s="4">
        <f t="shared" si="380"/>
        <v>0.49653985096430026</v>
      </c>
      <c r="AC434" s="47" t="str">
        <f t="shared" si="381"/>
        <v>-0,606186907657839-2,39061140929465i</v>
      </c>
      <c r="AD434" s="20">
        <f t="shared" si="382"/>
        <v>7.8408108066886948</v>
      </c>
      <c r="AE434" s="43">
        <f t="shared" si="383"/>
        <v>-104.22858536398091</v>
      </c>
      <c r="AF434" t="str">
        <f t="shared" si="365"/>
        <v>171,265703090588</v>
      </c>
      <c r="AG434" t="str">
        <f t="shared" si="366"/>
        <v>1+3585,09028355127i</v>
      </c>
      <c r="AH434">
        <f t="shared" si="384"/>
        <v>3585.0904230177698</v>
      </c>
      <c r="AI434">
        <f t="shared" si="385"/>
        <v>1.5705173937988006</v>
      </c>
      <c r="AJ434" t="str">
        <f t="shared" si="367"/>
        <v>1+45,4098296498193i</v>
      </c>
      <c r="AK434">
        <f t="shared" si="386"/>
        <v>45.420839147087634</v>
      </c>
      <c r="AL434">
        <f t="shared" si="387"/>
        <v>1.5487782218272035</v>
      </c>
      <c r="AM434" t="str">
        <f t="shared" si="368"/>
        <v>1-1,14179439069438i</v>
      </c>
      <c r="AN434">
        <f t="shared" si="388"/>
        <v>1.5177926177910968</v>
      </c>
      <c r="AO434">
        <f t="shared" si="389"/>
        <v>-0.85150524493265811</v>
      </c>
      <c r="AP434" s="41" t="str">
        <f t="shared" si="390"/>
        <v>2,11546144242087-2,52407935744524i</v>
      </c>
      <c r="AQ434">
        <f t="shared" si="391"/>
        <v>10.352757551790752</v>
      </c>
      <c r="AR434" s="43">
        <f t="shared" si="392"/>
        <v>-50.033219571976375</v>
      </c>
      <c r="AS434" t="str">
        <f t="shared" si="369"/>
        <v>-0,0000166666666666667</v>
      </c>
      <c r="AT434" t="str">
        <f t="shared" si="370"/>
        <v>0,00300976350919002i</v>
      </c>
      <c r="AU434">
        <f t="shared" si="393"/>
        <v>3.0097635091900199E-3</v>
      </c>
      <c r="AV434">
        <f t="shared" si="394"/>
        <v>1.5707963267948966</v>
      </c>
      <c r="AW434" t="str">
        <f t="shared" si="371"/>
        <v>1+1,01288310431945i</v>
      </c>
      <c r="AX434">
        <f t="shared" si="395"/>
        <v>1.4233524451153361</v>
      </c>
      <c r="AY434">
        <f t="shared" si="396"/>
        <v>0.79179840014293679</v>
      </c>
      <c r="AZ434" t="str">
        <f t="shared" si="372"/>
        <v>1+239,763900551046i</v>
      </c>
      <c r="BA434">
        <f t="shared" si="397"/>
        <v>239.76598592680295</v>
      </c>
      <c r="BB434">
        <f t="shared" si="398"/>
        <v>1.5666255813268657</v>
      </c>
      <c r="BC434" s="41" t="str">
        <f t="shared" si="399"/>
        <v>-0,652584425419115+0,666529272284415i</v>
      </c>
      <c r="BD434">
        <f t="shared" si="400"/>
        <v>-0.60417004063365032</v>
      </c>
      <c r="BE434" s="43">
        <f t="shared" si="401"/>
        <v>134.3943273338574</v>
      </c>
      <c r="BF434" s="41" t="str">
        <f t="shared" si="402"/>
        <v>1,98900061778246+1,15603445450541i</v>
      </c>
      <c r="BG434" s="20">
        <f t="shared" si="403"/>
        <v>7.2366407660550278</v>
      </c>
      <c r="BH434" s="43">
        <f t="shared" si="404"/>
        <v>30.165741969876535</v>
      </c>
      <c r="BI434" s="41" t="str">
        <f t="shared" ref="BI434:BI497" si="409">IMPRODUCT(AP434,BC434)</f>
        <v>0,301855587407574+3,05719185295317i</v>
      </c>
      <c r="BJ434" s="20">
        <f t="shared" si="405"/>
        <v>9.7485875111570959</v>
      </c>
      <c r="BK434" s="43">
        <f t="shared" ref="BK434:BK497" si="410">(180/PI())*IMARGUMENT(BI434)</f>
        <v>84.361107761881044</v>
      </c>
      <c r="BL434">
        <f t="shared" si="406"/>
        <v>7.2366407660550278</v>
      </c>
      <c r="BM434" s="43">
        <f t="shared" si="407"/>
        <v>30.165741969876535</v>
      </c>
    </row>
    <row r="435" spans="14:65" x14ac:dyDescent="0.25">
      <c r="N435" s="9">
        <v>17</v>
      </c>
      <c r="O435" s="34">
        <f t="shared" si="408"/>
        <v>147910.83881682079</v>
      </c>
      <c r="P435" s="33" t="str">
        <f t="shared" si="360"/>
        <v>54,631621870174</v>
      </c>
      <c r="Q435" s="4" t="str">
        <f t="shared" si="361"/>
        <v>1+3704,04554429606i</v>
      </c>
      <c r="R435" s="4">
        <f t="shared" si="373"/>
        <v>3704.0456792835994</v>
      </c>
      <c r="S435" s="4">
        <f t="shared" si="374"/>
        <v>1.5705263517193351</v>
      </c>
      <c r="T435" s="4" t="str">
        <f t="shared" si="362"/>
        <v>1+46,4675604613228i</v>
      </c>
      <c r="U435" s="4">
        <f t="shared" si="375"/>
        <v>46.47831941052398</v>
      </c>
      <c r="V435" s="4">
        <f t="shared" si="376"/>
        <v>1.5492792586029038</v>
      </c>
      <c r="W435" t="str">
        <f t="shared" si="363"/>
        <v>1-3,69820336564081i</v>
      </c>
      <c r="X435" s="4">
        <f t="shared" si="377"/>
        <v>3.8310192029846331</v>
      </c>
      <c r="Y435" s="4">
        <f t="shared" si="378"/>
        <v>-1.3067102445759491</v>
      </c>
      <c r="Z435" t="str">
        <f t="shared" si="364"/>
        <v>0,912489535042018+0,508103231212595i</v>
      </c>
      <c r="AA435" s="4">
        <f t="shared" si="379"/>
        <v>1.0444166051580557</v>
      </c>
      <c r="AB435" s="4">
        <f t="shared" si="380"/>
        <v>0.50807325361971123</v>
      </c>
      <c r="AC435" s="47" t="str">
        <f t="shared" si="381"/>
        <v>-0,659150103621296-2,42661040100348i</v>
      </c>
      <c r="AD435" s="20">
        <f t="shared" si="382"/>
        <v>8.0091747388119447</v>
      </c>
      <c r="AE435" s="43">
        <f t="shared" si="383"/>
        <v>-105.19680393909179</v>
      </c>
      <c r="AF435" t="str">
        <f t="shared" si="365"/>
        <v>171,265703090588</v>
      </c>
      <c r="AG435" t="str">
        <f t="shared" si="366"/>
        <v>1+3668,59776385183i</v>
      </c>
      <c r="AH435">
        <f t="shared" si="384"/>
        <v>3668.5979001436845</v>
      </c>
      <c r="AI435">
        <f t="shared" si="385"/>
        <v>1.5705237430886407</v>
      </c>
      <c r="AJ435" t="str">
        <f t="shared" si="367"/>
        <v>1+46,4675604613228i</v>
      </c>
      <c r="AK435">
        <f t="shared" si="386"/>
        <v>46.47831941052398</v>
      </c>
      <c r="AL435">
        <f t="shared" si="387"/>
        <v>1.5492792586029038</v>
      </c>
      <c r="AM435" t="str">
        <f t="shared" si="368"/>
        <v>1-1,16839019862303i</v>
      </c>
      <c r="AN435">
        <f t="shared" si="388"/>
        <v>1.5378997549380009</v>
      </c>
      <c r="AO435">
        <f t="shared" si="389"/>
        <v>-0.86289939988294595</v>
      </c>
      <c r="AP435" s="41" t="str">
        <f t="shared" si="390"/>
        <v>2,11546085010079-2,58069973430999i</v>
      </c>
      <c r="AQ435">
        <f t="shared" si="391"/>
        <v>10.466974651534866</v>
      </c>
      <c r="AR435" s="43">
        <f t="shared" si="392"/>
        <v>-50.657713056628189</v>
      </c>
      <c r="AS435" t="str">
        <f t="shared" si="369"/>
        <v>-0,0000166666666666667</v>
      </c>
      <c r="AT435" t="str">
        <f t="shared" si="370"/>
        <v>0,00307986990737648i</v>
      </c>
      <c r="AU435">
        <f t="shared" si="393"/>
        <v>3.0798699073764802E-3</v>
      </c>
      <c r="AV435">
        <f t="shared" si="394"/>
        <v>1.5707963267948966</v>
      </c>
      <c r="AW435" t="str">
        <f t="shared" si="371"/>
        <v>1+1,03647618264966i</v>
      </c>
      <c r="AX435">
        <f t="shared" si="395"/>
        <v>1.4402370906208501</v>
      </c>
      <c r="AY435">
        <f t="shared" si="396"/>
        <v>0.80330766951402433</v>
      </c>
      <c r="AZ435" t="str">
        <f t="shared" si="372"/>
        <v>1+245,348719235784i</v>
      </c>
      <c r="BA435">
        <f t="shared" si="397"/>
        <v>245.35075714299222</v>
      </c>
      <c r="BB435">
        <f t="shared" si="398"/>
        <v>1.5667205180207446</v>
      </c>
      <c r="BC435" s="41" t="str">
        <f t="shared" si="399"/>
        <v>-0,637372946633051+0,666033362631176i</v>
      </c>
      <c r="BD435">
        <f t="shared" si="400"/>
        <v>-0.7066042292706648</v>
      </c>
      <c r="BE435" s="43">
        <f t="shared" si="401"/>
        <v>133.74033424549509</v>
      </c>
      <c r="BF435" s="41" t="str">
        <f t="shared" si="402"/>
        <v>2,03632792899472+1,10763986162442i</v>
      </c>
      <c r="BG435" s="20">
        <f t="shared" si="403"/>
        <v>7.3025705095412841</v>
      </c>
      <c r="BH435" s="43">
        <f t="shared" si="404"/>
        <v>28.543530306403348</v>
      </c>
      <c r="BI435" s="41" t="str">
        <f t="shared" si="409"/>
        <v>0,370494606468265+3,05383569753953i</v>
      </c>
      <c r="BJ435" s="20">
        <f t="shared" si="405"/>
        <v>9.7603704222642147</v>
      </c>
      <c r="BK435" s="43">
        <f t="shared" si="410"/>
        <v>83.082621188866923</v>
      </c>
      <c r="BL435">
        <f t="shared" si="406"/>
        <v>7.3025705095412841</v>
      </c>
      <c r="BM435" s="43">
        <f t="shared" si="407"/>
        <v>28.543530306403348</v>
      </c>
    </row>
    <row r="436" spans="14:65" x14ac:dyDescent="0.25">
      <c r="N436" s="9">
        <v>18</v>
      </c>
      <c r="O436" s="34">
        <f t="shared" si="408"/>
        <v>151356.12484362084</v>
      </c>
      <c r="P436" s="33" t="str">
        <f t="shared" si="360"/>
        <v>54,631621870174</v>
      </c>
      <c r="Q436" s="4" t="str">
        <f t="shared" si="361"/>
        <v>1+3790,32384856691i</v>
      </c>
      <c r="R436" s="4">
        <f t="shared" si="373"/>
        <v>3790.3239804817572</v>
      </c>
      <c r="S436" s="4">
        <f t="shared" si="374"/>
        <v>1.5705324971020391</v>
      </c>
      <c r="T436" s="4" t="str">
        <f t="shared" si="362"/>
        <v>1+47,5499289884539i</v>
      </c>
      <c r="U436" s="4">
        <f t="shared" si="375"/>
        <v>47.560443088842312</v>
      </c>
      <c r="V436" s="4">
        <f t="shared" si="376"/>
        <v>1.5497689008299926</v>
      </c>
      <c r="W436" t="str">
        <f t="shared" si="363"/>
        <v>1-3,78434558808934i</v>
      </c>
      <c r="X436" s="4">
        <f t="shared" si="377"/>
        <v>3.9142395851673739</v>
      </c>
      <c r="Y436" s="4">
        <f t="shared" si="378"/>
        <v>-1.3124548040129695</v>
      </c>
      <c r="Z436" t="str">
        <f t="shared" si="364"/>
        <v>0,908365293889289+0,519938475855056i</v>
      </c>
      <c r="AA436" s="4">
        <f t="shared" si="379"/>
        <v>1.0466439345914413</v>
      </c>
      <c r="AB436" s="4">
        <f t="shared" si="380"/>
        <v>0.51986997407935998</v>
      </c>
      <c r="AC436" s="47" t="str">
        <f t="shared" si="381"/>
        <v>-0,714129991726141-2,46219850267467i</v>
      </c>
      <c r="AD436" s="20">
        <f t="shared" si="382"/>
        <v>8.1772419259000344</v>
      </c>
      <c r="AE436" s="43">
        <f t="shared" si="383"/>
        <v>-106.17414291583744</v>
      </c>
      <c r="AF436" t="str">
        <f t="shared" si="365"/>
        <v>171,265703090588</v>
      </c>
      <c r="AG436" t="str">
        <f t="shared" si="366"/>
        <v>1+3754,05038324642i</v>
      </c>
      <c r="AH436">
        <f t="shared" si="384"/>
        <v>3754.0505164358924</v>
      </c>
      <c r="AI436">
        <f t="shared" si="385"/>
        <v>1.5705299478510204</v>
      </c>
      <c r="AJ436" t="str">
        <f t="shared" si="367"/>
        <v>1+47,5499289884539i</v>
      </c>
      <c r="AK436">
        <f t="shared" si="386"/>
        <v>47.560443088842312</v>
      </c>
      <c r="AL436">
        <f t="shared" si="387"/>
        <v>1.5497689008299926</v>
      </c>
      <c r="AM436" t="str">
        <f t="shared" si="368"/>
        <v>1-1,19560550250047i</v>
      </c>
      <c r="AN436">
        <f t="shared" si="388"/>
        <v>1.5586765275737622</v>
      </c>
      <c r="AO436">
        <f t="shared" si="389"/>
        <v>-0.87425312813911227</v>
      </c>
      <c r="AP436" s="41" t="str">
        <f t="shared" si="390"/>
        <v>2,1154602844395-2,63868843231896i</v>
      </c>
      <c r="AQ436">
        <f t="shared" si="391"/>
        <v>10.583443533912806</v>
      </c>
      <c r="AR436" s="43">
        <f t="shared" si="392"/>
        <v>-51.280534841058689</v>
      </c>
      <c r="AS436" t="str">
        <f t="shared" si="369"/>
        <v>-0,0000166666666666667</v>
      </c>
      <c r="AT436" t="str">
        <f t="shared" si="370"/>
        <v>0,00315160929335472i</v>
      </c>
      <c r="AU436">
        <f t="shared" si="393"/>
        <v>3.15160929335472E-3</v>
      </c>
      <c r="AV436">
        <f t="shared" si="394"/>
        <v>1.5707963267948966</v>
      </c>
      <c r="AW436" t="str">
        <f t="shared" si="371"/>
        <v>1+1,06061881437131i</v>
      </c>
      <c r="AX436">
        <f t="shared" si="395"/>
        <v>1.4577078820526432</v>
      </c>
      <c r="AY436">
        <f t="shared" si="396"/>
        <v>0.81480745365933693</v>
      </c>
      <c r="AZ436" t="str">
        <f t="shared" si="372"/>
        <v>1+251,063625059036i</v>
      </c>
      <c r="BA436">
        <f t="shared" si="397"/>
        <v>251.065616578185</v>
      </c>
      <c r="BB436">
        <f t="shared" si="398"/>
        <v>1.5668132937626316</v>
      </c>
      <c r="BC436" s="41" t="str">
        <f t="shared" si="399"/>
        <v>-0,62218652912469+0,665191042404658i</v>
      </c>
      <c r="BD436">
        <f t="shared" si="400"/>
        <v>-0.81133769461892546</v>
      </c>
      <c r="BE436" s="43">
        <f t="shared" si="401"/>
        <v>133.08676080710859</v>
      </c>
      <c r="BF436" s="41" t="str">
        <f t="shared" si="402"/>
        <v>2,08215444949728+1,05691386678642i</v>
      </c>
      <c r="BG436" s="20">
        <f t="shared" si="403"/>
        <v>7.3659042312810996</v>
      </c>
      <c r="BH436" s="43">
        <f t="shared" si="404"/>
        <v>26.912617891271172</v>
      </c>
      <c r="BI436" s="41" t="str">
        <f t="shared" si="409"/>
        <v>0,43902101699882+3,04894162891797i</v>
      </c>
      <c r="BJ436" s="20">
        <f t="shared" si="405"/>
        <v>9.7721058392938858</v>
      </c>
      <c r="BK436" s="43">
        <f t="shared" si="410"/>
        <v>81.806225966049894</v>
      </c>
      <c r="BL436">
        <f t="shared" si="406"/>
        <v>7.3659042312810996</v>
      </c>
      <c r="BM436" s="43">
        <f t="shared" si="407"/>
        <v>26.912617891271172</v>
      </c>
    </row>
    <row r="437" spans="14:65" x14ac:dyDescent="0.25">
      <c r="N437" s="9">
        <v>19</v>
      </c>
      <c r="O437" s="34">
        <f t="shared" si="408"/>
        <v>154881.66189124843</v>
      </c>
      <c r="P437" s="33" t="str">
        <f t="shared" si="360"/>
        <v>54,631621870174</v>
      </c>
      <c r="Q437" s="4" t="str">
        <f t="shared" si="361"/>
        <v>1+3878,61183271314i</v>
      </c>
      <c r="R437" s="4">
        <f t="shared" si="373"/>
        <v>3878.6119616252386</v>
      </c>
      <c r="S437" s="4">
        <f t="shared" si="374"/>
        <v>1.5705385025987737</v>
      </c>
      <c r="T437" s="4" t="str">
        <f t="shared" si="362"/>
        <v>1+48,6575091173325i</v>
      </c>
      <c r="U437" s="4">
        <f t="shared" si="375"/>
        <v>48.667783938692914</v>
      </c>
      <c r="V437" s="4">
        <f t="shared" si="376"/>
        <v>1.5502474071835894</v>
      </c>
      <c r="W437" t="str">
        <f t="shared" si="363"/>
        <v>1-3,87249432066042i</v>
      </c>
      <c r="X437" s="4">
        <f t="shared" si="377"/>
        <v>3.9995265049187023</v>
      </c>
      <c r="Y437" s="4">
        <f t="shared" si="378"/>
        <v>-1.3180855039377102</v>
      </c>
      <c r="Z437" t="str">
        <f t="shared" si="364"/>
        <v>0,90404668323922+0,532049398759616i</v>
      </c>
      <c r="AA437" s="4">
        <f t="shared" si="379"/>
        <v>1.0489885453122467</v>
      </c>
      <c r="AB437" s="4">
        <f t="shared" si="380"/>
        <v>0.5319354300925645</v>
      </c>
      <c r="AC437" s="47" t="str">
        <f t="shared" si="381"/>
        <v>-0,771176579841742-2,49728747001314i</v>
      </c>
      <c r="AD437" s="20">
        <f t="shared" si="382"/>
        <v>8.3449433198541527</v>
      </c>
      <c r="AE437" s="43">
        <f t="shared" si="383"/>
        <v>-107.16098565977244</v>
      </c>
      <c r="AF437" t="str">
        <f t="shared" si="365"/>
        <v>171,265703090588</v>
      </c>
      <c r="AG437" t="str">
        <f t="shared" si="366"/>
        <v>1+3841,49344984495i</v>
      </c>
      <c r="AH437">
        <f t="shared" si="384"/>
        <v>3841.4935800026601</v>
      </c>
      <c r="AI437">
        <f t="shared" si="385"/>
        <v>1.5705360113757847</v>
      </c>
      <c r="AJ437" t="str">
        <f t="shared" si="367"/>
        <v>1+48,6575091173325i</v>
      </c>
      <c r="AK437">
        <f t="shared" si="386"/>
        <v>48.667783938692914</v>
      </c>
      <c r="AL437">
        <f t="shared" si="387"/>
        <v>1.5502474071835894</v>
      </c>
      <c r="AM437" t="str">
        <f t="shared" si="368"/>
        <v>1-1,22345473224104i</v>
      </c>
      <c r="AN437">
        <f t="shared" si="388"/>
        <v>1.5801397032677189</v>
      </c>
      <c r="AO437">
        <f t="shared" si="389"/>
        <v>-0.88556074180598743</v>
      </c>
      <c r="AP437" s="41" t="str">
        <f t="shared" si="390"/>
        <v>2,11545974423716-2,69807619784831i</v>
      </c>
      <c r="AQ437">
        <f t="shared" si="391"/>
        <v>10.702146937568187</v>
      </c>
      <c r="AR437" s="43">
        <f t="shared" si="392"/>
        <v>-51.901344400381561</v>
      </c>
      <c r="AS437" t="str">
        <f t="shared" si="369"/>
        <v>-0,0000166666666666667</v>
      </c>
      <c r="AT437" t="str">
        <f t="shared" si="370"/>
        <v>0,00322501970429679i</v>
      </c>
      <c r="AU437">
        <f t="shared" si="393"/>
        <v>3.2250197042967901E-3</v>
      </c>
      <c r="AV437">
        <f t="shared" si="394"/>
        <v>1.5707963267948966</v>
      </c>
      <c r="AW437" t="str">
        <f t="shared" si="371"/>
        <v>1+1,08532380022728i</v>
      </c>
      <c r="AX437">
        <f t="shared" si="395"/>
        <v>1.4757803872323907</v>
      </c>
      <c r="AY437">
        <f t="shared" si="396"/>
        <v>0.82629168465819791</v>
      </c>
      <c r="AZ437" t="str">
        <f t="shared" si="372"/>
        <v>1+256,911648139515i</v>
      </c>
      <c r="BA437">
        <f t="shared" si="397"/>
        <v>256.91359432650108</v>
      </c>
      <c r="BB437">
        <f t="shared" si="398"/>
        <v>1.5669039577370605</v>
      </c>
      <c r="BC437" s="41" t="str">
        <f t="shared" si="399"/>
        <v>-0,607041160469238+0,664004146255875i</v>
      </c>
      <c r="BD437">
        <f t="shared" si="400"/>
        <v>-0.91836544138513965</v>
      </c>
      <c r="BE437" s="43">
        <f t="shared" si="401"/>
        <v>132.43395750300917</v>
      </c>
      <c r="BF437" s="41" t="str">
        <f t="shared" si="402"/>
        <v>2,1263451604354+1,00389183731172i</v>
      </c>
      <c r="BG437" s="20">
        <f t="shared" si="403"/>
        <v>7.4265778784690131</v>
      </c>
      <c r="BH437" s="43">
        <f t="shared" si="404"/>
        <v>25.272971843236675</v>
      </c>
      <c r="BI437" s="41" t="str">
        <f t="shared" si="409"/>
        <v>0,507362644217882+3,04251734758713i</v>
      </c>
      <c r="BJ437" s="20">
        <f t="shared" si="405"/>
        <v>9.7837814961830336</v>
      </c>
      <c r="BK437" s="43">
        <f t="shared" si="410"/>
        <v>80.532613102627593</v>
      </c>
      <c r="BL437">
        <f t="shared" si="406"/>
        <v>7.4265778784690131</v>
      </c>
      <c r="BM437" s="43">
        <f t="shared" si="407"/>
        <v>25.272971843236675</v>
      </c>
    </row>
    <row r="438" spans="14:65" x14ac:dyDescent="0.25">
      <c r="N438" s="9">
        <v>20</v>
      </c>
      <c r="O438" s="34">
        <f t="shared" si="408"/>
        <v>158489.31924611164</v>
      </c>
      <c r="P438" s="33" t="str">
        <f t="shared" si="360"/>
        <v>54,631621870174</v>
      </c>
      <c r="Q438" s="4" t="str">
        <f t="shared" si="361"/>
        <v>1+3968,95630819257i</v>
      </c>
      <c r="R438" s="4">
        <f t="shared" si="373"/>
        <v>3968.9564341702712</v>
      </c>
      <c r="S438" s="4">
        <f t="shared" si="374"/>
        <v>1.570544371393731</v>
      </c>
      <c r="T438" s="4" t="str">
        <f t="shared" si="362"/>
        <v>1+49,7908881016032i</v>
      </c>
      <c r="U438" s="4">
        <f t="shared" si="375"/>
        <v>49.800929087180407</v>
      </c>
      <c r="V438" s="4">
        <f t="shared" si="376"/>
        <v>1.5507150304970918</v>
      </c>
      <c r="W438" t="str">
        <f t="shared" si="363"/>
        <v>1-3,96269630097882i</v>
      </c>
      <c r="X438" s="4">
        <f t="shared" si="377"/>
        <v>4.0869257362706284</v>
      </c>
      <c r="Y438" s="4">
        <f t="shared" si="378"/>
        <v>-1.3236039010669962</v>
      </c>
      <c r="Z438" t="str">
        <f t="shared" si="364"/>
        <v>0,899524542739616+0,544442421297903i</v>
      </c>
      <c r="AA438" s="4">
        <f t="shared" si="379"/>
        <v>1.0514570619381651</v>
      </c>
      <c r="AB438" s="4">
        <f t="shared" si="380"/>
        <v>0.54427507913265927</v>
      </c>
      <c r="AC438" s="47" t="str">
        <f t="shared" si="381"/>
        <v>-0,830338156958294-2,53178298242584i</v>
      </c>
      <c r="AD438" s="20">
        <f t="shared" si="382"/>
        <v>8.5122082191379764</v>
      </c>
      <c r="AE438" s="43">
        <f t="shared" si="383"/>
        <v>-108.15771975054412</v>
      </c>
      <c r="AF438" t="str">
        <f t="shared" si="365"/>
        <v>171,265703090588</v>
      </c>
      <c r="AG438" t="str">
        <f t="shared" si="366"/>
        <v>1+3930,97332711875i</v>
      </c>
      <c r="AH438">
        <f t="shared" si="384"/>
        <v>3930.9734543137097</v>
      </c>
      <c r="AI438">
        <f t="shared" si="385"/>
        <v>1.5705419368778932</v>
      </c>
      <c r="AJ438" t="str">
        <f t="shared" si="367"/>
        <v>1+49,7908881016032i</v>
      </c>
      <c r="AK438">
        <f t="shared" si="386"/>
        <v>49.800929087180407</v>
      </c>
      <c r="AL438">
        <f t="shared" si="387"/>
        <v>1.5507150304970918</v>
      </c>
      <c r="AM438" t="str">
        <f t="shared" si="368"/>
        <v>1-1,25195265387498i</v>
      </c>
      <c r="AN438">
        <f t="shared" si="388"/>
        <v>1.6023062901781935</v>
      </c>
      <c r="AO438">
        <f t="shared" si="389"/>
        <v>-0.89681667055679515</v>
      </c>
      <c r="AP438" s="41" t="str">
        <f t="shared" si="390"/>
        <v>2,11545922834793-2,75889451907839i</v>
      </c>
      <c r="AQ438">
        <f t="shared" si="391"/>
        <v>10.823065467478957</v>
      </c>
      <c r="AR438" s="43">
        <f t="shared" si="392"/>
        <v>-52.519808276299635</v>
      </c>
      <c r="AS438" t="str">
        <f t="shared" si="369"/>
        <v>-0,0000166666666666667</v>
      </c>
      <c r="AT438" t="str">
        <f t="shared" si="370"/>
        <v>0,00330014006337426i</v>
      </c>
      <c r="AU438">
        <f t="shared" si="393"/>
        <v>3.3001400633742599E-3</v>
      </c>
      <c r="AV438">
        <f t="shared" si="394"/>
        <v>1.5707963267948966</v>
      </c>
      <c r="AW438" t="str">
        <f t="shared" si="371"/>
        <v>1+1,11060423912809i</v>
      </c>
      <c r="AX438">
        <f t="shared" si="395"/>
        <v>1.4944703998304161</v>
      </c>
      <c r="AY438">
        <f t="shared" si="396"/>
        <v>0.83775433561463797</v>
      </c>
      <c r="AZ438" t="str">
        <f t="shared" si="372"/>
        <v>1+262,895889176464i</v>
      </c>
      <c r="BA438">
        <f t="shared" si="397"/>
        <v>262.8977910631499</v>
      </c>
      <c r="BB438">
        <f t="shared" si="398"/>
        <v>1.5669925580093054</v>
      </c>
      <c r="BC438" s="41" t="str">
        <f t="shared" si="399"/>
        <v>-0,591952655232163+0,662475418962731i</v>
      </c>
      <c r="BD438">
        <f t="shared" si="400"/>
        <v>-1.0276800676881908</v>
      </c>
      <c r="BE438" s="43">
        <f t="shared" si="401"/>
        <v>131.7822724028369</v>
      </c>
      <c r="BF438" s="41" t="str">
        <f t="shared" si="402"/>
        <v>2,16876486875731+0,948617040506893i</v>
      </c>
      <c r="BG438" s="20">
        <f t="shared" si="403"/>
        <v>7.4845281514497755</v>
      </c>
      <c r="BH438" s="43">
        <f t="shared" si="404"/>
        <v>23.624552652292813</v>
      </c>
      <c r="BI438" s="41" t="str">
        <f t="shared" si="409"/>
        <v>0,575448095144499+3,03457467467228i</v>
      </c>
      <c r="BJ438" s="20">
        <f t="shared" si="405"/>
        <v>9.7953853997907547</v>
      </c>
      <c r="BK438" s="43">
        <f t="shared" si="410"/>
        <v>79.262464126537253</v>
      </c>
      <c r="BL438">
        <f t="shared" si="406"/>
        <v>7.4845281514497755</v>
      </c>
      <c r="BM438" s="43">
        <f t="shared" si="407"/>
        <v>23.624552652292813</v>
      </c>
    </row>
    <row r="439" spans="14:65" x14ac:dyDescent="0.25">
      <c r="N439" s="9">
        <v>21</v>
      </c>
      <c r="O439" s="34">
        <f t="shared" si="408"/>
        <v>162181.00973589328</v>
      </c>
      <c r="P439" s="33" t="str">
        <f t="shared" si="360"/>
        <v>54,631621870174</v>
      </c>
      <c r="Q439" s="4" t="str">
        <f t="shared" si="361"/>
        <v>1+4061,40517684193i</v>
      </c>
      <c r="R439" s="4">
        <f t="shared" si="373"/>
        <v>4061.4052999520281</v>
      </c>
      <c r="S439" s="4">
        <f t="shared" si="374"/>
        <v>1.5705501065986223</v>
      </c>
      <c r="T439" s="4" t="str">
        <f t="shared" si="362"/>
        <v>1+50,9506668738055i</v>
      </c>
      <c r="U439" s="4">
        <f t="shared" si="375"/>
        <v>50.960479343168487</v>
      </c>
      <c r="V439" s="4">
        <f t="shared" si="376"/>
        <v>1.5511720178920536</v>
      </c>
      <c r="W439" t="str">
        <f t="shared" si="363"/>
        <v>1-4,05499935532848i</v>
      </c>
      <c r="X439" s="4">
        <f t="shared" si="377"/>
        <v>4.1764841400051296</v>
      </c>
      <c r="Y439" s="4">
        <f t="shared" si="378"/>
        <v>-1.3290115763594885</v>
      </c>
      <c r="Z439" t="str">
        <f t="shared" si="364"/>
        <v>0,894789280324185+0,557124114414508i</v>
      </c>
      <c r="AA439" s="4">
        <f t="shared" si="379"/>
        <v>1.0540565141609926</v>
      </c>
      <c r="AB439" s="4">
        <f t="shared" si="380"/>
        <v>0.55689440977101146</v>
      </c>
      <c r="AC439" s="47" t="str">
        <f t="shared" si="381"/>
        <v>-0,891660874075013-2,56558441240453i</v>
      </c>
      <c r="AD439" s="20">
        <f t="shared" si="382"/>
        <v>8.6789641381806675</v>
      </c>
      <c r="AE439" s="43">
        <f t="shared" si="383"/>
        <v>-109.1647362616517</v>
      </c>
      <c r="AF439" t="str">
        <f t="shared" si="365"/>
        <v>171,265703090588</v>
      </c>
      <c r="AG439" t="str">
        <f t="shared" si="366"/>
        <v>1+4022,53745848316i</v>
      </c>
      <c r="AH439">
        <f t="shared" si="384"/>
        <v>4022.5375827828084</v>
      </c>
      <c r="AI439">
        <f t="shared" si="385"/>
        <v>1.5705477274991235</v>
      </c>
      <c r="AJ439" t="str">
        <f t="shared" si="367"/>
        <v>1+50,9506668738055i</v>
      </c>
      <c r="AK439">
        <f t="shared" si="386"/>
        <v>50.960479343168487</v>
      </c>
      <c r="AL439">
        <f t="shared" si="387"/>
        <v>1.5511720178920536</v>
      </c>
      <c r="AM439" t="str">
        <f t="shared" si="368"/>
        <v>1-1,28111437737755i</v>
      </c>
      <c r="AN439">
        <f t="shared" si="388"/>
        <v>1.6251935416815648</v>
      </c>
      <c r="AO439">
        <f t="shared" si="389"/>
        <v>-0.90801547446518205</v>
      </c>
      <c r="AP439" s="41" t="str">
        <f t="shared" si="390"/>
        <v>2,11545873567753-2,82117564268893i</v>
      </c>
      <c r="AQ439">
        <f t="shared" si="391"/>
        <v>10.946177671647261</v>
      </c>
      <c r="AR439" s="43">
        <f t="shared" si="392"/>
        <v>-53.1356008049802</v>
      </c>
      <c r="AS439" t="str">
        <f t="shared" si="369"/>
        <v>-0,0000166666666666667</v>
      </c>
      <c r="AT439" t="str">
        <f t="shared" si="370"/>
        <v>0,00337701020039584i</v>
      </c>
      <c r="AU439">
        <f t="shared" si="393"/>
        <v>3.3770102003958398E-3</v>
      </c>
      <c r="AV439">
        <f t="shared" si="394"/>
        <v>1.5707963267948966</v>
      </c>
      <c r="AW439" t="str">
        <f t="shared" si="371"/>
        <v>1+1,13647353509707i</v>
      </c>
      <c r="AX439">
        <f t="shared" si="395"/>
        <v>1.5137939410553971</v>
      </c>
      <c r="AY439">
        <f t="shared" si="396"/>
        <v>0.84918943633411004</v>
      </c>
      <c r="AZ439" t="str">
        <f t="shared" si="372"/>
        <v>1+269,019521093693i</v>
      </c>
      <c r="BA439">
        <f t="shared" si="397"/>
        <v>269.02137968845517</v>
      </c>
      <c r="BB439">
        <f t="shared" si="398"/>
        <v>1.5670791415508361</v>
      </c>
      <c r="BC439" s="41" t="str">
        <f t="shared" si="399"/>
        <v>-0,576936589476295+0,660608497416448i</v>
      </c>
      <c r="BD439">
        <f t="shared" si="400"/>
        <v>-1.1392717962218917</v>
      </c>
      <c r="BE439" s="43">
        <f t="shared" si="401"/>
        <v>131.13205026480918</v>
      </c>
      <c r="BF439" s="41" t="str">
        <f t="shared" si="402"/>
        <v>2,20927864733191+0,891140770678483i</v>
      </c>
      <c r="BG439" s="20">
        <f t="shared" si="403"/>
        <v>7.5396923419587853</v>
      </c>
      <c r="BH439" s="43">
        <f t="shared" si="404"/>
        <v>21.96731400315748</v>
      </c>
      <c r="BI439" s="41" t="str">
        <f t="shared" si="409"/>
        <v>0,643207054124987+3,02512947032898i</v>
      </c>
      <c r="BJ439" s="20">
        <f t="shared" si="405"/>
        <v>9.8069058754253788</v>
      </c>
      <c r="BK439" s="43">
        <f t="shared" si="410"/>
        <v>77.996449459829009</v>
      </c>
      <c r="BL439">
        <f t="shared" si="406"/>
        <v>7.5396923419587853</v>
      </c>
      <c r="BM439" s="43">
        <f t="shared" si="407"/>
        <v>21.96731400315748</v>
      </c>
    </row>
    <row r="440" spans="14:65" x14ac:dyDescent="0.25">
      <c r="N440" s="9">
        <v>22</v>
      </c>
      <c r="O440" s="34">
        <f t="shared" si="408"/>
        <v>165958.69074375604</v>
      </c>
      <c r="P440" s="33" t="str">
        <f t="shared" si="360"/>
        <v>54,631621870174</v>
      </c>
      <c r="Q440" s="4" t="str">
        <f t="shared" si="361"/>
        <v>1+4156,00745627514i</v>
      </c>
      <c r="R440" s="4">
        <f t="shared" si="373"/>
        <v>4156.0075765829106</v>
      </c>
      <c r="S440" s="4">
        <f t="shared" si="374"/>
        <v>1.5705557112543274</v>
      </c>
      <c r="T440" s="4" t="str">
        <f t="shared" si="362"/>
        <v>1+52,1374603639965i</v>
      </c>
      <c r="U440" s="4">
        <f t="shared" si="375"/>
        <v>52.14704951583844</v>
      </c>
      <c r="V440" s="4">
        <f t="shared" si="376"/>
        <v>1.5516186109053145</v>
      </c>
      <c r="W440" t="str">
        <f t="shared" si="363"/>
        <v>1-4,14945242401062i</v>
      </c>
      <c r="X440" s="4">
        <f t="shared" si="377"/>
        <v>4.2682496903446978</v>
      </c>
      <c r="Y440" s="4">
        <f t="shared" si="378"/>
        <v>-1.334310131403414</v>
      </c>
      <c r="Z440" t="str">
        <f t="shared" si="364"/>
        <v>0,889830851866473+0,570101202110989i</v>
      </c>
      <c r="AA440" s="4">
        <f t="shared" si="379"/>
        <v>1.0567943629589476</v>
      </c>
      <c r="AB440" s="4">
        <f t="shared" si="380"/>
        <v>0.56979893191158637</v>
      </c>
      <c r="AC440" s="47" t="str">
        <f t="shared" si="381"/>
        <v>-0,955188283214993-2,59858460713354i</v>
      </c>
      <c r="AD440" s="20">
        <f t="shared" si="382"/>
        <v>8.8451366728160092</v>
      </c>
      <c r="AE440" s="43">
        <f t="shared" si="383"/>
        <v>-110.18242898677209</v>
      </c>
      <c r="AF440" t="str">
        <f t="shared" si="365"/>
        <v>171,265703090588</v>
      </c>
      <c r="AG440" t="str">
        <f t="shared" si="366"/>
        <v>1+4116,23439245267i</v>
      </c>
      <c r="AH440">
        <f t="shared" si="384"/>
        <v>4116.2345139229137</v>
      </c>
      <c r="AI440">
        <f t="shared" si="385"/>
        <v>1.5705533863097385</v>
      </c>
      <c r="AJ440" t="str">
        <f t="shared" si="367"/>
        <v>1+52,1374603639965i</v>
      </c>
      <c r="AK440">
        <f t="shared" si="386"/>
        <v>52.14704951583844</v>
      </c>
      <c r="AL440">
        <f t="shared" si="387"/>
        <v>1.5516186109053145</v>
      </c>
      <c r="AM440" t="str">
        <f t="shared" si="368"/>
        <v>1-1,31095536468058i</v>
      </c>
      <c r="AN440">
        <f t="shared" si="388"/>
        <v>1.6488189616160995</v>
      </c>
      <c r="AO440">
        <f t="shared" si="389"/>
        <v>-0.91915185605381522</v>
      </c>
      <c r="AP440" s="41" t="str">
        <f t="shared" si="390"/>
        <v>2,11545826518095-2,8849525909569i</v>
      </c>
      <c r="AQ440">
        <f t="shared" si="391"/>
        <v>11.071460124905528</v>
      </c>
      <c r="AR440" s="43">
        <f t="shared" si="392"/>
        <v>-53.748404800201428</v>
      </c>
      <c r="AS440" t="str">
        <f t="shared" si="369"/>
        <v>-0,0000166666666666667</v>
      </c>
      <c r="AT440" t="str">
        <f t="shared" si="370"/>
        <v>0,00345567087292568i</v>
      </c>
      <c r="AU440">
        <f t="shared" si="393"/>
        <v>3.4556708729256802E-3</v>
      </c>
      <c r="AV440">
        <f t="shared" si="394"/>
        <v>1.5707963267948966</v>
      </c>
      <c r="AW440" t="str">
        <f t="shared" si="371"/>
        <v>1+1,16294540437737i</v>
      </c>
      <c r="AX440">
        <f t="shared" si="395"/>
        <v>1.5337672618629088</v>
      </c>
      <c r="AY440">
        <f t="shared" si="396"/>
        <v>0.86059108863844458</v>
      </c>
      <c r="AZ440" t="str">
        <f t="shared" si="372"/>
        <v>1+275,285790721901i</v>
      </c>
      <c r="BA440">
        <f t="shared" si="397"/>
        <v>275.28760701016358</v>
      </c>
      <c r="BB440">
        <f t="shared" si="398"/>
        <v>1.5671637542641967</v>
      </c>
      <c r="BC440" s="41" t="str">
        <f t="shared" si="399"/>
        <v>-0,562008237384496+0,658407887063095i</v>
      </c>
      <c r="BD440">
        <f t="shared" si="400"/>
        <v>-1.2531285151719962</v>
      </c>
      <c r="BE440" s="43">
        <f t="shared" si="401"/>
        <v>130.48363165966396</v>
      </c>
      <c r="BF440" s="41" t="str">
        <f t="shared" si="402"/>
        <v>2,24775228395746+0,831522455450595i</v>
      </c>
      <c r="BG440" s="20">
        <f t="shared" si="403"/>
        <v>7.5920081576440204</v>
      </c>
      <c r="BH440" s="43">
        <f t="shared" si="404"/>
        <v>20.301202672891812</v>
      </c>
      <c r="BI440" s="41" t="str">
        <f t="shared" si="409"/>
        <v>0,710570568814325+3,01420152712947i</v>
      </c>
      <c r="BJ440" s="20">
        <f t="shared" si="405"/>
        <v>9.8183316097335265</v>
      </c>
      <c r="BK440" s="43">
        <f t="shared" si="410"/>
        <v>76.735226859462486</v>
      </c>
      <c r="BL440">
        <f t="shared" si="406"/>
        <v>7.5920081576440204</v>
      </c>
      <c r="BM440" s="43">
        <f t="shared" si="407"/>
        <v>20.301202672891812</v>
      </c>
    </row>
    <row r="441" spans="14:65" x14ac:dyDescent="0.25">
      <c r="N441" s="9">
        <v>23</v>
      </c>
      <c r="O441" s="34">
        <f t="shared" si="408"/>
        <v>169824.36524617471</v>
      </c>
      <c r="P441" s="33" t="str">
        <f t="shared" si="360"/>
        <v>54,631621870174</v>
      </c>
      <c r="Q441" s="4" t="str">
        <f t="shared" si="361"/>
        <v>1+4252,8133058729i</v>
      </c>
      <c r="R441" s="4">
        <f t="shared" si="373"/>
        <v>4252.8134234421323</v>
      </c>
      <c r="S441" s="4">
        <f t="shared" si="374"/>
        <v>1.5705611883325077</v>
      </c>
      <c r="T441" s="4" t="str">
        <f t="shared" si="362"/>
        <v>1+53,351897825793i</v>
      </c>
      <c r="U441" s="4">
        <f t="shared" si="375"/>
        <v>53.361268740668606</v>
      </c>
      <c r="V441" s="4">
        <f t="shared" si="376"/>
        <v>1.5520550456134252</v>
      </c>
      <c r="W441" t="str">
        <f t="shared" si="363"/>
        <v>1-4,24610558729244i</v>
      </c>
      <c r="X441" s="4">
        <f t="shared" si="377"/>
        <v>4.3622715021461094</v>
      </c>
      <c r="Y441" s="4">
        <f t="shared" si="378"/>
        <v>-1.339501185004154</v>
      </c>
      <c r="Z441" t="str">
        <f t="shared" si="364"/>
        <v>0,884638739874936+0,583380565011007i</v>
      </c>
      <c r="AA441" s="4">
        <f t="shared" si="379"/>
        <v>1.0596785284793102</v>
      </c>
      <c r="AB441" s="4">
        <f t="shared" si="380"/>
        <v>0.58299416578591912</v>
      </c>
      <c r="AC441" s="47" t="str">
        <f t="shared" si="381"/>
        <v>-1,02096083230837-2,63066968640525i</v>
      </c>
      <c r="AD441" s="20">
        <f t="shared" si="382"/>
        <v>9.0106493622608692</v>
      </c>
      <c r="AE441" s="43">
        <f t="shared" si="383"/>
        <v>-111.21119360666422</v>
      </c>
      <c r="AF441" t="str">
        <f t="shared" si="365"/>
        <v>171,265703090588</v>
      </c>
      <c r="AG441" t="str">
        <f t="shared" si="366"/>
        <v>1+4212,11380838183i</v>
      </c>
      <c r="AH441">
        <f t="shared" si="384"/>
        <v>4212.1139270870726</v>
      </c>
      <c r="AI441">
        <f t="shared" si="385"/>
        <v>1.570558916310113</v>
      </c>
      <c r="AJ441" t="str">
        <f t="shared" si="367"/>
        <v>1+53,351897825793i</v>
      </c>
      <c r="AK441">
        <f t="shared" si="386"/>
        <v>53.361268740668606</v>
      </c>
      <c r="AL441">
        <f t="shared" si="387"/>
        <v>1.5520550456134252</v>
      </c>
      <c r="AM441" t="str">
        <f t="shared" si="368"/>
        <v>1-1,34149143787049i</v>
      </c>
      <c r="AN441">
        <f t="shared" si="388"/>
        <v>1.673200310148141</v>
      </c>
      <c r="AO441">
        <f t="shared" si="389"/>
        <v>-0.93022067150203647</v>
      </c>
      <c r="AP441" s="41" t="str">
        <f t="shared" si="390"/>
        <v>2,1154578158602-2,95025917926512i</v>
      </c>
      <c r="AQ441">
        <f t="shared" si="391"/>
        <v>11.198887519147396</v>
      </c>
      <c r="AR441" s="43">
        <f t="shared" si="392"/>
        <v>-54.357912188468028</v>
      </c>
      <c r="AS441" t="str">
        <f t="shared" si="369"/>
        <v>-0,0000166666666666667</v>
      </c>
      <c r="AT441" t="str">
        <f t="shared" si="370"/>
        <v>0,00353616378789358i</v>
      </c>
      <c r="AU441">
        <f t="shared" si="393"/>
        <v>3.53616378789358E-3</v>
      </c>
      <c r="AV441">
        <f t="shared" si="394"/>
        <v>1.5707963267948966</v>
      </c>
      <c r="AW441" t="str">
        <f t="shared" si="371"/>
        <v>1+1,19003388270447i</v>
      </c>
      <c r="AX441">
        <f t="shared" si="395"/>
        <v>1.5544068457082516</v>
      </c>
      <c r="AY441">
        <f t="shared" si="396"/>
        <v>0.87195348122473615</v>
      </c>
      <c r="AZ441" t="str">
        <f t="shared" si="372"/>
        <v>1+281,698020520187i</v>
      </c>
      <c r="BA441">
        <f t="shared" si="397"/>
        <v>281.69979546494477</v>
      </c>
      <c r="BB441">
        <f t="shared" si="398"/>
        <v>1.5672464410073188</v>
      </c>
      <c r="BC441" s="41" t="str">
        <f t="shared" si="399"/>
        <v>-0,547182510536743+0,655878933076913i</v>
      </c>
      <c r="BD441">
        <f t="shared" si="400"/>
        <v>-1.3692358285256125</v>
      </c>
      <c r="BE441" s="43">
        <f t="shared" si="401"/>
        <v>129.83735212070127</v>
      </c>
      <c r="BF441" s="41" t="str">
        <f t="shared" si="402"/>
        <v>2,28405273857943+0,769829741992401i</v>
      </c>
      <c r="BG441" s="20">
        <f t="shared" si="403"/>
        <v>7.6414135337352569</v>
      </c>
      <c r="BH441" s="43">
        <f t="shared" si="404"/>
        <v>18.626158514037058</v>
      </c>
      <c r="BI441" s="41" t="str">
        <f t="shared" si="409"/>
        <v>0,777471324179817+3,00181443967996i</v>
      </c>
      <c r="BJ441" s="20">
        <f t="shared" si="405"/>
        <v>9.8296516906217715</v>
      </c>
      <c r="BK441" s="43">
        <f t="shared" si="410"/>
        <v>75.479439932233234</v>
      </c>
      <c r="BL441">
        <f t="shared" si="406"/>
        <v>7.6414135337352569</v>
      </c>
      <c r="BM441" s="43">
        <f t="shared" si="407"/>
        <v>18.626158514037058</v>
      </c>
    </row>
    <row r="442" spans="14:65" x14ac:dyDescent="0.25">
      <c r="N442" s="9">
        <v>24</v>
      </c>
      <c r="O442" s="34">
        <f t="shared" si="408"/>
        <v>173780.0828749378</v>
      </c>
      <c r="P442" s="33" t="str">
        <f t="shared" si="360"/>
        <v>54,631621870174</v>
      </c>
      <c r="Q442" s="4" t="str">
        <f t="shared" si="361"/>
        <v>1+4351,8740533781i</v>
      </c>
      <c r="R442" s="4">
        <f t="shared" si="373"/>
        <v>4351.8741682711288</v>
      </c>
      <c r="S442" s="4">
        <f t="shared" si="374"/>
        <v>1.5705665407371814</v>
      </c>
      <c r="T442" s="4" t="str">
        <f t="shared" si="362"/>
        <v>1+54,594623170013i</v>
      </c>
      <c r="U442" s="4">
        <f t="shared" si="375"/>
        <v>54.603780813014403</v>
      </c>
      <c r="V442" s="4">
        <f t="shared" si="376"/>
        <v>1.5524815527544236</v>
      </c>
      <c r="W442" t="str">
        <f t="shared" si="363"/>
        <v>1-4,34501009196053i</v>
      </c>
      <c r="X442" s="4">
        <f t="shared" si="377"/>
        <v>4.4585998586146811</v>
      </c>
      <c r="Y442" s="4">
        <f t="shared" si="378"/>
        <v>-1.3445863699669047</v>
      </c>
      <c r="Z442" t="str">
        <f t="shared" si="364"/>
        <v>0,879201931183919+0,596969244008553i</v>
      </c>
      <c r="AA442" s="4">
        <f t="shared" si="379"/>
        <v>1.0627174196792277</v>
      </c>
      <c r="AB442" s="4">
        <f t="shared" si="380"/>
        <v>0.59648562960371676</v>
      </c>
      <c r="AC442" s="47" t="str">
        <f t="shared" si="381"/>
        <v>-1,08901531384452-2,66171886148009i</v>
      </c>
      <c r="AD442" s="20">
        <f t="shared" si="382"/>
        <v>9.175423548224412</v>
      </c>
      <c r="AE442" s="43">
        <f t="shared" si="383"/>
        <v>-112.25142679037305</v>
      </c>
      <c r="AF442" t="str">
        <f t="shared" si="365"/>
        <v>171,265703090588</v>
      </c>
      <c r="AG442" t="str">
        <f t="shared" si="366"/>
        <v>1+4310,22654280614i</v>
      </c>
      <c r="AH442">
        <f t="shared" si="384"/>
        <v>4310.2266588093216</v>
      </c>
      <c r="AI442">
        <f t="shared" si="385"/>
        <v>1.5705643204323245</v>
      </c>
      <c r="AJ442" t="str">
        <f t="shared" si="367"/>
        <v>1+54,594623170013i</v>
      </c>
      <c r="AK442">
        <f t="shared" si="386"/>
        <v>54.603780813014403</v>
      </c>
      <c r="AL442">
        <f t="shared" si="387"/>
        <v>1.5524815527544236</v>
      </c>
      <c r="AM442" t="str">
        <f t="shared" si="368"/>
        <v>1-1,37273878757751i</v>
      </c>
      <c r="AN442">
        <f t="shared" si="388"/>
        <v>1.6983556102653448</v>
      </c>
      <c r="AO442">
        <f t="shared" si="389"/>
        <v>-0.94121694096422037</v>
      </c>
      <c r="AP442" s="41" t="str">
        <f t="shared" si="390"/>
        <v>2,11545738676222-3,01713003403193i</v>
      </c>
      <c r="AQ442">
        <f t="shared" si="391"/>
        <v>11.328432759260206</v>
      </c>
      <c r="AR442" s="43">
        <f t="shared" si="392"/>
        <v>-54.963824593323118</v>
      </c>
      <c r="AS442" t="str">
        <f t="shared" si="369"/>
        <v>-0,0000166666666666667</v>
      </c>
      <c r="AT442" t="str">
        <f t="shared" si="370"/>
        <v>0,00361853162370846i</v>
      </c>
      <c r="AU442">
        <f t="shared" si="393"/>
        <v>3.6185316237084598E-3</v>
      </c>
      <c r="AV442">
        <f t="shared" si="394"/>
        <v>1.5707963267948966</v>
      </c>
      <c r="AW442" t="str">
        <f t="shared" si="371"/>
        <v>1+1,21775333274815i</v>
      </c>
      <c r="AX442">
        <f t="shared" si="395"/>
        <v>1.5757294118658909</v>
      </c>
      <c r="AY442">
        <f t="shared" si="396"/>
        <v>0.88327090397927355</v>
      </c>
      <c r="AZ442" t="str">
        <f t="shared" si="372"/>
        <v>1+288,259610337669i</v>
      </c>
      <c r="BA442">
        <f t="shared" si="397"/>
        <v>288.26134487999741</v>
      </c>
      <c r="BB442">
        <f t="shared" si="398"/>
        <v>1.5673272456172829</v>
      </c>
      <c r="BC442" s="41" t="str">
        <f t="shared" si="399"/>
        <v>-0,532473900340611+0,653027786600353i</v>
      </c>
      <c r="BD442">
        <f t="shared" si="400"/>
        <v>-1.487577115332962</v>
      </c>
      <c r="BE442" s="43">
        <f t="shared" si="401"/>
        <v>129.19354132501709</v>
      </c>
      <c r="BF442" s="41" t="str">
        <f t="shared" si="402"/>
        <v>2,3180486083582+0,706138563808699i</v>
      </c>
      <c r="BG442" s="20">
        <f t="shared" si="403"/>
        <v>7.6878464328914475</v>
      </c>
      <c r="BH442" s="43">
        <f t="shared" si="404"/>
        <v>16.94211453464408</v>
      </c>
      <c r="BI442" s="41" t="str">
        <f t="shared" si="409"/>
        <v>0,843843902275683+2,98799545198048i</v>
      </c>
      <c r="BJ442" s="20">
        <f t="shared" si="405"/>
        <v>9.8408556439272381</v>
      </c>
      <c r="BK442" s="43">
        <f t="shared" si="410"/>
        <v>74.229716731693998</v>
      </c>
      <c r="BL442">
        <f t="shared" si="406"/>
        <v>7.6878464328914475</v>
      </c>
      <c r="BM442" s="43">
        <f t="shared" si="407"/>
        <v>16.94211453464408</v>
      </c>
    </row>
    <row r="443" spans="14:65" x14ac:dyDescent="0.25">
      <c r="N443" s="9">
        <v>25</v>
      </c>
      <c r="O443" s="34">
        <f t="shared" si="408"/>
        <v>177827.94100389251</v>
      </c>
      <c r="P443" s="33" t="str">
        <f t="shared" si="360"/>
        <v>54,631621870174</v>
      </c>
      <c r="Q443" s="4" t="str">
        <f t="shared" si="361"/>
        <v>1+4453,24222211027i</v>
      </c>
      <c r="R443" s="4">
        <f t="shared" si="373"/>
        <v>4453.2423343880146</v>
      </c>
      <c r="S443" s="4">
        <f t="shared" si="374"/>
        <v>1.5705717713062626</v>
      </c>
      <c r="T443" s="4" t="str">
        <f t="shared" si="362"/>
        <v>1+55,866295306083i</v>
      </c>
      <c r="U443" s="4">
        <f t="shared" si="375"/>
        <v>55.875244529455721</v>
      </c>
      <c r="V443" s="4">
        <f t="shared" si="376"/>
        <v>1.5528983578470037</v>
      </c>
      <c r="W443" t="str">
        <f t="shared" si="363"/>
        <v>1-4,44621837849238i</v>
      </c>
      <c r="X443" s="4">
        <f t="shared" si="377"/>
        <v>4.5572862395556637</v>
      </c>
      <c r="Y443" s="4">
        <f t="shared" si="378"/>
        <v>-1.349567330069098</v>
      </c>
      <c r="Z443" t="str">
        <f t="shared" si="364"/>
        <v>0,873508893593263+0,610874444001094i</v>
      </c>
      <c r="AA443" s="4">
        <f t="shared" si="379"/>
        <v>1.0659199658136498</v>
      </c>
      <c r="AB443" s="4">
        <f t="shared" si="380"/>
        <v>0.61027882574994841</v>
      </c>
      <c r="AC443" s="47" t="str">
        <f t="shared" si="381"/>
        <v>-1,15938426542248-2,69160428012013i</v>
      </c>
      <c r="AD443" s="20">
        <f t="shared" si="382"/>
        <v>9.3393782318360365</v>
      </c>
      <c r="AE443" s="43">
        <f t="shared" si="383"/>
        <v>-113.30352522417529</v>
      </c>
      <c r="AF443" t="str">
        <f t="shared" si="365"/>
        <v>171,265703090588</v>
      </c>
      <c r="AG443" t="str">
        <f t="shared" si="366"/>
        <v>1+4410,62461639604i</v>
      </c>
      <c r="AH443">
        <f t="shared" si="384"/>
        <v>4410.6247297586679</v>
      </c>
      <c r="AI443">
        <f t="shared" si="385"/>
        <v>1.5705696015417097</v>
      </c>
      <c r="AJ443" t="str">
        <f t="shared" si="367"/>
        <v>1+55,866295306083i</v>
      </c>
      <c r="AK443">
        <f t="shared" si="386"/>
        <v>55.875244529455721</v>
      </c>
      <c r="AL443">
        <f t="shared" si="387"/>
        <v>1.5528983578470037</v>
      </c>
      <c r="AM443" t="str">
        <f t="shared" si="368"/>
        <v>1-1,40471398156005i</v>
      </c>
      <c r="AN443">
        <f t="shared" si="388"/>
        <v>1.7243031548977368</v>
      </c>
      <c r="AO443">
        <f t="shared" si="389"/>
        <v>-0.9521358579593534</v>
      </c>
      <c r="AP443" s="41" t="str">
        <f t="shared" si="390"/>
        <v>2,11545697697682-3,08560061107025i</v>
      </c>
      <c r="AQ443">
        <f t="shared" si="391"/>
        <v>11.460067064004543</v>
      </c>
      <c r="AR443" s="43">
        <f t="shared" si="392"/>
        <v>-55.565853866592498</v>
      </c>
      <c r="AS443" t="str">
        <f t="shared" si="369"/>
        <v>-0,0000166666666666667</v>
      </c>
      <c r="AT443" t="str">
        <f t="shared" si="370"/>
        <v>0,00370281805288717i</v>
      </c>
      <c r="AU443">
        <f t="shared" si="393"/>
        <v>3.70281805288717E-3</v>
      </c>
      <c r="AV443">
        <f t="shared" si="394"/>
        <v>1.5707963267948966</v>
      </c>
      <c r="AW443" t="str">
        <f t="shared" si="371"/>
        <v>1+1,24611845172772i</v>
      </c>
      <c r="AX443">
        <f t="shared" si="395"/>
        <v>1.5977519193342533</v>
      </c>
      <c r="AY443">
        <f t="shared" si="396"/>
        <v>0.89453776166381982</v>
      </c>
      <c r="AZ443" t="str">
        <f t="shared" si="372"/>
        <v>1+294,974039216118i</v>
      </c>
      <c r="BA443">
        <f t="shared" si="397"/>
        <v>294.97573427567215</v>
      </c>
      <c r="BB443">
        <f t="shared" si="398"/>
        <v>1.5674062109335392</v>
      </c>
      <c r="BC443" s="41" t="str">
        <f t="shared" si="399"/>
        <v>-0,517896424067563+0,649861366437513i</v>
      </c>
      <c r="BD443">
        <f t="shared" si="400"/>
        <v>-1.6081335974112276</v>
      </c>
      <c r="BE443" s="43">
        <f t="shared" si="401"/>
        <v>128.55252231066746</v>
      </c>
      <c r="BF443" s="41" t="str">
        <f t="shared" si="402"/>
        <v>2,34961060057043+0,640533188725557i</v>
      </c>
      <c r="BG443" s="20">
        <f t="shared" si="403"/>
        <v>7.7312446344248205</v>
      </c>
      <c r="BH443" s="43">
        <f t="shared" si="404"/>
        <v>15.248997086492146</v>
      </c>
      <c r="BI443" s="41" t="str">
        <f t="shared" si="409"/>
        <v>0,909625025745466+2,9727752842719i</v>
      </c>
      <c r="BJ443" s="20">
        <f t="shared" si="405"/>
        <v>9.8519334665933265</v>
      </c>
      <c r="BK443" s="43">
        <f t="shared" si="410"/>
        <v>72.986668444074994</v>
      </c>
      <c r="BL443">
        <f t="shared" si="406"/>
        <v>7.7312446344248205</v>
      </c>
      <c r="BM443" s="43">
        <f t="shared" si="407"/>
        <v>15.248997086492146</v>
      </c>
    </row>
    <row r="444" spans="14:65" x14ac:dyDescent="0.25">
      <c r="N444" s="9">
        <v>26</v>
      </c>
      <c r="O444" s="34">
        <f t="shared" si="408"/>
        <v>181970.08586099857</v>
      </c>
      <c r="P444" s="33" t="str">
        <f t="shared" si="360"/>
        <v>54,631621870174</v>
      </c>
      <c r="Q444" s="4" t="str">
        <f t="shared" si="361"/>
        <v>1+4556,97155881418i</v>
      </c>
      <c r="R444" s="4">
        <f t="shared" si="373"/>
        <v>4556.9716685361709</v>
      </c>
      <c r="S444" s="4">
        <f t="shared" si="374"/>
        <v>1.5705768828130675</v>
      </c>
      <c r="T444" s="4" t="str">
        <f t="shared" si="362"/>
        <v>1+57,1675884914015i</v>
      </c>
      <c r="U444" s="4">
        <f t="shared" si="375"/>
        <v>57.176334037101597</v>
      </c>
      <c r="V444" s="4">
        <f t="shared" si="376"/>
        <v>1.5533056813071293</v>
      </c>
      <c r="W444" t="str">
        <f t="shared" si="363"/>
        <v>1-4,54978410886112i</v>
      </c>
      <c r="X444" s="4">
        <f t="shared" si="377"/>
        <v>4.6583833501811736</v>
      </c>
      <c r="Y444" s="4">
        <f t="shared" si="378"/>
        <v>-1.3544457172169733</v>
      </c>
      <c r="Z444" t="str">
        <f t="shared" si="364"/>
        <v>0,867547551406964+0,625103537709717i</v>
      </c>
      <c r="AA444" s="4">
        <f t="shared" si="379"/>
        <v>1.0692956498599546</v>
      </c>
      <c r="AB444" s="4">
        <f t="shared" si="380"/>
        <v>0.62437922541601054</v>
      </c>
      <c r="AC444" s="47" t="str">
        <f t="shared" si="381"/>
        <v>-1,2320953206423-2,72019090365464i</v>
      </c>
      <c r="AD444" s="20">
        <f t="shared" si="382"/>
        <v>9.5024299291963903</v>
      </c>
      <c r="AE444" s="43">
        <f t="shared" si="383"/>
        <v>-114.36788456149743</v>
      </c>
      <c r="AF444" t="str">
        <f t="shared" si="365"/>
        <v>171,265703090588</v>
      </c>
      <c r="AG444" t="str">
        <f t="shared" si="366"/>
        <v>1+4513,36126153903i</v>
      </c>
      <c r="AH444">
        <f t="shared" si="384"/>
        <v>4513.3613723212093</v>
      </c>
      <c r="AI444">
        <f t="shared" si="385"/>
        <v>1.5705747624383808</v>
      </c>
      <c r="AJ444" t="str">
        <f t="shared" si="367"/>
        <v>1+57,1675884914015i</v>
      </c>
      <c r="AK444">
        <f t="shared" si="386"/>
        <v>57.176334037101597</v>
      </c>
      <c r="AL444">
        <f t="shared" si="387"/>
        <v>1.5533056813071293</v>
      </c>
      <c r="AM444" t="str">
        <f t="shared" si="368"/>
        <v>1-1,43743397348919i</v>
      </c>
      <c r="AN444">
        <f t="shared" si="388"/>
        <v>1.751061514665011</v>
      </c>
      <c r="AO444">
        <f t="shared" si="389"/>
        <v>-0.9629727978019994</v>
      </c>
      <c r="AP444" s="41" t="str">
        <f t="shared" si="390"/>
        <v>2,1154565856348-3,15570721438692i</v>
      </c>
      <c r="AQ444">
        <f t="shared" si="391"/>
        <v>11.593760071074435</v>
      </c>
      <c r="AR444" s="43">
        <f t="shared" si="392"/>
        <v>-56.163722564849202</v>
      </c>
      <c r="AS444" t="str">
        <f t="shared" si="369"/>
        <v>-0,0000166666666666667</v>
      </c>
      <c r="AT444" t="str">
        <f t="shared" si="370"/>
        <v>0,00378906776521011i</v>
      </c>
      <c r="AU444">
        <f t="shared" si="393"/>
        <v>3.7890677652101098E-3</v>
      </c>
      <c r="AV444">
        <f t="shared" si="394"/>
        <v>1.5707963267948966</v>
      </c>
      <c r="AW444" t="str">
        <f t="shared" si="371"/>
        <v>1+1,27514427920471i</v>
      </c>
      <c r="AX444">
        <f t="shared" si="395"/>
        <v>1.6204915713413937</v>
      </c>
      <c r="AY444">
        <f t="shared" si="396"/>
        <v>0.90574858689881399</v>
      </c>
      <c r="AZ444" t="str">
        <f t="shared" si="372"/>
        <v>1+301,8448672346i</v>
      </c>
      <c r="BA444">
        <f t="shared" si="397"/>
        <v>301.84652371010219</v>
      </c>
      <c r="BB444">
        <f t="shared" si="398"/>
        <v>1.5674833788206026</v>
      </c>
      <c r="BC444" s="41" t="str">
        <f t="shared" si="399"/>
        <v>-0,503463574895286+0,646387316632991i</v>
      </c>
      <c r="BD444">
        <f t="shared" si="400"/>
        <v>-1.7308844149116618</v>
      </c>
      <c r="BE444" s="43">
        <f t="shared" si="401"/>
        <v>127.91461073408618</v>
      </c>
      <c r="BF444" s="41" t="str">
        <f t="shared" si="402"/>
        <v>2,37861201368512+0,573106248605563i</v>
      </c>
      <c r="BG444" s="20">
        <f t="shared" si="403"/>
        <v>7.7715455142847301</v>
      </c>
      <c r="BH444" s="43">
        <f t="shared" si="404"/>
        <v>13.546726172588766</v>
      </c>
      <c r="BI444" s="41" t="str">
        <f t="shared" si="409"/>
        <v>0,97475378324746+2,95618794132015i</v>
      </c>
      <c r="BJ444" s="20">
        <f t="shared" si="405"/>
        <v>9.8628756561627728</v>
      </c>
      <c r="BK444" s="43">
        <f t="shared" si="410"/>
        <v>71.750888169236973</v>
      </c>
      <c r="BL444">
        <f t="shared" si="406"/>
        <v>7.7715455142847301</v>
      </c>
      <c r="BM444" s="43">
        <f t="shared" si="407"/>
        <v>13.546726172588766</v>
      </c>
    </row>
    <row r="445" spans="14:65" x14ac:dyDescent="0.25">
      <c r="N445" s="9">
        <v>27</v>
      </c>
      <c r="O445" s="34">
        <f t="shared" si="408"/>
        <v>186208.71366628664</v>
      </c>
      <c r="P445" s="33" t="str">
        <f t="shared" si="360"/>
        <v>54,631621870174</v>
      </c>
      <c r="Q445" s="4" t="str">
        <f t="shared" si="361"/>
        <v>1+4663,11706215725i</v>
      </c>
      <c r="R445" s="4">
        <f t="shared" si="373"/>
        <v>4663.1171693816641</v>
      </c>
      <c r="S445" s="4">
        <f t="shared" si="374"/>
        <v>1.5705818779677836</v>
      </c>
      <c r="T445" s="4" t="str">
        <f t="shared" si="362"/>
        <v>1+58,499192688841i</v>
      </c>
      <c r="U445" s="4">
        <f t="shared" si="375"/>
        <v>58.50773919103478</v>
      </c>
      <c r="V445" s="4">
        <f t="shared" si="376"/>
        <v>1.5537037385621408</v>
      </c>
      <c r="W445" t="str">
        <f t="shared" si="363"/>
        <v>1-4,65576219498792i</v>
      </c>
      <c r="X445" s="4">
        <f t="shared" si="377"/>
        <v>4.7619451504903685</v>
      </c>
      <c r="Y445" s="4">
        <f t="shared" si="378"/>
        <v>-1.3592231887803268</v>
      </c>
      <c r="Z445" t="str">
        <f t="shared" si="364"/>
        <v>0,861305259818988+0,639664069588261i</v>
      </c>
      <c r="AA445" s="4">
        <f t="shared" si="379"/>
        <v>1.0728545439685988</v>
      </c>
      <c r="AB445" s="4">
        <f t="shared" si="380"/>
        <v>0.63879225154994801</v>
      </c>
      <c r="AC445" s="47" t="str">
        <f t="shared" si="381"/>
        <v>-1,30717050918905-2,74733642259332i</v>
      </c>
      <c r="AD445" s="20">
        <f t="shared" si="382"/>
        <v>9.66449252648016</v>
      </c>
      <c r="AE445" s="43">
        <f t="shared" si="383"/>
        <v>-115.44489828687431</v>
      </c>
      <c r="AF445" t="str">
        <f t="shared" si="365"/>
        <v>171,265703090588</v>
      </c>
      <c r="AG445" t="str">
        <f t="shared" si="366"/>
        <v>1+4618,49095056431i</v>
      </c>
      <c r="AH445">
        <f t="shared" si="384"/>
        <v>4618.4910588247785</v>
      </c>
      <c r="AI445">
        <f t="shared" si="385"/>
        <v>1.5705798058587128</v>
      </c>
      <c r="AJ445" t="str">
        <f t="shared" si="367"/>
        <v>1+58,499192688841i</v>
      </c>
      <c r="AK445">
        <f t="shared" si="386"/>
        <v>58.50773919103478</v>
      </c>
      <c r="AL445">
        <f t="shared" si="387"/>
        <v>1.5537037385621408</v>
      </c>
      <c r="AM445" t="str">
        <f t="shared" si="368"/>
        <v>1-1,47091611193776i</v>
      </c>
      <c r="AN445">
        <f t="shared" si="388"/>
        <v>1.7786495462451555</v>
      </c>
      <c r="AO445">
        <f t="shared" si="389"/>
        <v>-0.9737233250538736</v>
      </c>
      <c r="AP445" s="41" t="str">
        <f t="shared" si="390"/>
        <v>2,11545621190608-3,22748701543156i</v>
      </c>
      <c r="AQ445">
        <f t="shared" si="391"/>
        <v>11.729479945559946</v>
      </c>
      <c r="AR445" s="43">
        <f t="shared" si="392"/>
        <v>-56.757164369904437</v>
      </c>
      <c r="AS445" t="str">
        <f t="shared" si="369"/>
        <v>-0,0000166666666666667</v>
      </c>
      <c r="AT445" t="str">
        <f t="shared" si="370"/>
        <v>0,00387732649141639i</v>
      </c>
      <c r="AU445">
        <f t="shared" si="393"/>
        <v>3.8773264914163902E-3</v>
      </c>
      <c r="AV445">
        <f t="shared" si="394"/>
        <v>1.5707963267948966</v>
      </c>
      <c r="AW445" t="str">
        <f t="shared" si="371"/>
        <v>1+1,30484620505707i</v>
      </c>
      <c r="AX445">
        <f t="shared" si="395"/>
        <v>1.6439658204633807</v>
      </c>
      <c r="AY445">
        <f t="shared" si="396"/>
        <v>0.91689805237582045</v>
      </c>
      <c r="AZ445" t="str">
        <f t="shared" si="372"/>
        <v>1+308,87573739708i</v>
      </c>
      <c r="BA445">
        <f t="shared" si="397"/>
        <v>308.87735616679629</v>
      </c>
      <c r="BB445">
        <f t="shared" si="398"/>
        <v>1.5675587901902299</v>
      </c>
      <c r="BC445" s="41" t="str">
        <f t="shared" si="399"/>
        <v>-0,489188276299134+0,642613960405028i</v>
      </c>
      <c r="BD445">
        <f t="shared" si="400"/>
        <v>-1.8558067091194257</v>
      </c>
      <c r="BE445" s="43">
        <f t="shared" si="401"/>
        <v>127.28011417163391</v>
      </c>
      <c r="BF445" s="41" t="str">
        <f t="shared" si="402"/>
        <v>2,40492922730693+0,503958751147623i</v>
      </c>
      <c r="BG445" s="20">
        <f t="shared" si="403"/>
        <v>7.8086858173607396</v>
      </c>
      <c r="BH445" s="43">
        <f t="shared" si="404"/>
        <v>11.83521588475962</v>
      </c>
      <c r="BI445" s="41" t="str">
        <f t="shared" si="409"/>
        <v>1,03917183525365+2,93827050425319i</v>
      </c>
      <c r="BJ445" s="20">
        <f t="shared" si="405"/>
        <v>9.8736732364405349</v>
      </c>
      <c r="BK445" s="43">
        <f t="shared" si="410"/>
        <v>70.522949801729482</v>
      </c>
      <c r="BL445">
        <f t="shared" si="406"/>
        <v>7.8086858173607396</v>
      </c>
      <c r="BM445" s="43">
        <f t="shared" si="407"/>
        <v>11.83521588475962</v>
      </c>
    </row>
    <row r="446" spans="14:65" x14ac:dyDescent="0.25">
      <c r="N446" s="9">
        <v>28</v>
      </c>
      <c r="O446" s="34">
        <f t="shared" si="408"/>
        <v>190546.07179632492</v>
      </c>
      <c r="P446" s="33" t="str">
        <f t="shared" si="360"/>
        <v>54,631621870174</v>
      </c>
      <c r="Q446" s="4" t="str">
        <f t="shared" si="361"/>
        <v>1+4771,73501189037i</v>
      </c>
      <c r="R446" s="4">
        <f t="shared" si="373"/>
        <v>4771.7351166740573</v>
      </c>
      <c r="S446" s="4">
        <f t="shared" si="374"/>
        <v>1.5705867594189069</v>
      </c>
      <c r="T446" s="4" t="str">
        <f t="shared" si="362"/>
        <v>1+59,861813932573i</v>
      </c>
      <c r="U446" s="4">
        <f t="shared" si="375"/>
        <v>59.870165920080694</v>
      </c>
      <c r="V446" s="4">
        <f t="shared" si="376"/>
        <v>1.5540927401623981</v>
      </c>
      <c r="W446" t="str">
        <f t="shared" si="363"/>
        <v>1-4,76420882785683i</v>
      </c>
      <c r="X446" s="4">
        <f t="shared" si="377"/>
        <v>4.868026885240976</v>
      </c>
      <c r="Y446" s="4">
        <f t="shared" si="378"/>
        <v>-1.3639014050992404</v>
      </c>
      <c r="Z446" t="str">
        <f t="shared" si="364"/>
        <v>0,854768778091957+0,654563759823461i</v>
      </c>
      <c r="AA446" s="4">
        <f t="shared" si="379"/>
        <v>1.0766073470281738</v>
      </c>
      <c r="AB446" s="4">
        <f t="shared" si="380"/>
        <v>0.65352326000939942</v>
      </c>
      <c r="AC446" s="47" t="str">
        <f t="shared" si="381"/>
        <v>-1,38462550548111-2,77289121798255i</v>
      </c>
      <c r="AD446" s="20">
        <f t="shared" si="382"/>
        <v>9.8254771356607975</v>
      </c>
      <c r="AE446" s="43">
        <f t="shared" si="383"/>
        <v>-116.53495648692405</v>
      </c>
      <c r="AF446" t="str">
        <f t="shared" si="365"/>
        <v>171,265703090588</v>
      </c>
      <c r="AG446" t="str">
        <f t="shared" si="366"/>
        <v>1+4726,06942462457i</v>
      </c>
      <c r="AH446">
        <f t="shared" si="384"/>
        <v>4726.0695304207293</v>
      </c>
      <c r="AI446">
        <f t="shared" si="385"/>
        <v>1.5705847344767927</v>
      </c>
      <c r="AJ446" t="str">
        <f t="shared" si="367"/>
        <v>1+59,861813932573i</v>
      </c>
      <c r="AK446">
        <f t="shared" si="386"/>
        <v>59.870165920080694</v>
      </c>
      <c r="AL446">
        <f t="shared" si="387"/>
        <v>1.5540927401623981</v>
      </c>
      <c r="AM446" t="str">
        <f t="shared" si="368"/>
        <v>1-1,50517814957878i</v>
      </c>
      <c r="AN446">
        <f t="shared" si="388"/>
        <v>1.8070864013570023</v>
      </c>
      <c r="AO446">
        <f t="shared" si="389"/>
        <v>-0.98438319998443036</v>
      </c>
      <c r="AP446" s="41" t="str">
        <f t="shared" si="390"/>
        <v>2,11545585499791-3,30097807280539i</v>
      </c>
      <c r="AQ446">
        <f t="shared" si="391"/>
        <v>11.867193491037895</v>
      </c>
      <c r="AR446" s="43">
        <f t="shared" si="392"/>
        <v>-57.345924452658892</v>
      </c>
      <c r="AS446" t="str">
        <f t="shared" si="369"/>
        <v>-0,0000166666666666667</v>
      </c>
      <c r="AT446" t="str">
        <f t="shared" si="370"/>
        <v>0,00396764102745092i</v>
      </c>
      <c r="AU446">
        <f t="shared" si="393"/>
        <v>3.9676410274509201E-3</v>
      </c>
      <c r="AV446">
        <f t="shared" si="394"/>
        <v>1.5707963267948966</v>
      </c>
      <c r="AW446" t="str">
        <f t="shared" si="371"/>
        <v>1+1,33523997763904i</v>
      </c>
      <c r="AX446">
        <f t="shared" si="395"/>
        <v>1.6681923743637912</v>
      </c>
      <c r="AY446">
        <f t="shared" si="396"/>
        <v>0.92798098223999903</v>
      </c>
      <c r="AZ446" t="str">
        <f t="shared" si="372"/>
        <v>1+316,070377563985i</v>
      </c>
      <c r="BA446">
        <f t="shared" si="397"/>
        <v>316.07195948619051</v>
      </c>
      <c r="BB446">
        <f t="shared" si="398"/>
        <v>1.5676324850230945</v>
      </c>
      <c r="BC446" s="41" t="str">
        <f t="shared" si="399"/>
        <v>-0,475082841075566+0,638550250931196i</v>
      </c>
      <c r="BD446">
        <f t="shared" si="400"/>
        <v>-1.98287571180498</v>
      </c>
      <c r="BE446" s="43">
        <f t="shared" si="401"/>
        <v>126.64933146867202</v>
      </c>
      <c r="BF446" s="41" t="str">
        <f t="shared" si="402"/>
        <v>2,42844220201732+0,433200073861939i</v>
      </c>
      <c r="BG446" s="20">
        <f t="shared" si="403"/>
        <v>7.8426014238558031</v>
      </c>
      <c r="BH446" s="43">
        <f t="shared" si="404"/>
        <v>10.114374981747972</v>
      </c>
      <c r="BI446" s="41" t="str">
        <f t="shared" si="409"/>
        <v>1,10282359894591+2,91906290819931i</v>
      </c>
      <c r="BJ446" s="20">
        <f t="shared" si="405"/>
        <v>9.8843177792329051</v>
      </c>
      <c r="BK446" s="43">
        <f t="shared" si="410"/>
        <v>69.303407016013097</v>
      </c>
      <c r="BL446">
        <f t="shared" si="406"/>
        <v>7.8426014238558031</v>
      </c>
      <c r="BM446" s="43">
        <f t="shared" si="407"/>
        <v>10.114374981747972</v>
      </c>
    </row>
    <row r="447" spans="14:65" x14ac:dyDescent="0.25">
      <c r="N447" s="9">
        <v>29</v>
      </c>
      <c r="O447" s="34">
        <f t="shared" si="408"/>
        <v>194984.45997580473</v>
      </c>
      <c r="P447" s="33" t="str">
        <f t="shared" si="360"/>
        <v>54,631621870174</v>
      </c>
      <c r="Q447" s="4" t="str">
        <f t="shared" si="361"/>
        <v>1+4882,88299868811i</v>
      </c>
      <c r="R447" s="4">
        <f t="shared" si="373"/>
        <v>4882.8831010866315</v>
      </c>
      <c r="S447" s="4">
        <f t="shared" si="374"/>
        <v>1.5705915297546464</v>
      </c>
      <c r="T447" s="4" t="str">
        <f t="shared" si="362"/>
        <v>1+61,256174702416i</v>
      </c>
      <c r="U447" s="4">
        <f t="shared" si="375"/>
        <v>61.264336601100233</v>
      </c>
      <c r="V447" s="4">
        <f t="shared" si="376"/>
        <v>1.5544728918905115</v>
      </c>
      <c r="W447" t="str">
        <f t="shared" si="363"/>
        <v>1-4,87518150730798i</v>
      </c>
      <c r="X447" s="4">
        <f t="shared" si="377"/>
        <v>4.9766851145313291</v>
      </c>
      <c r="Y447" s="4">
        <f t="shared" si="378"/>
        <v>-1.3684820271564553</v>
      </c>
      <c r="Z447" t="str">
        <f t="shared" si="364"/>
        <v>0,847924241471776+0,669810508428287i</v>
      </c>
      <c r="AA447" s="4">
        <f t="shared" si="379"/>
        <v>1.0805654244313239</v>
      </c>
      <c r="AB447" s="4">
        <f t="shared" si="380"/>
        <v>0.66857751880132865</v>
      </c>
      <c r="AC447" s="47" t="str">
        <f t="shared" si="381"/>
        <v>-1,46446882590113-2,79669837639038i</v>
      </c>
      <c r="AD447" s="20">
        <f t="shared" si="382"/>
        <v>9.9852919520855856</v>
      </c>
      <c r="AE447" s="43">
        <f t="shared" si="383"/>
        <v>-117.63844452133151</v>
      </c>
      <c r="AF447" t="str">
        <f t="shared" si="365"/>
        <v>171,265703090588</v>
      </c>
      <c r="AG447" t="str">
        <f t="shared" si="366"/>
        <v>1+4836,15372325063i</v>
      </c>
      <c r="AH447">
        <f t="shared" si="384"/>
        <v>4836.1538266385742</v>
      </c>
      <c r="AI447">
        <f t="shared" si="385"/>
        <v>1.5705895509058383</v>
      </c>
      <c r="AJ447" t="str">
        <f t="shared" si="367"/>
        <v>1+61,256174702416i</v>
      </c>
      <c r="AK447">
        <f t="shared" si="386"/>
        <v>61.264336601100233</v>
      </c>
      <c r="AL447">
        <f t="shared" si="387"/>
        <v>1.5544728918905115</v>
      </c>
      <c r="AM447" t="str">
        <f t="shared" si="368"/>
        <v>1-1,54023825259807i</v>
      </c>
      <c r="AN447">
        <f t="shared" si="388"/>
        <v>1.8363915363468533</v>
      </c>
      <c r="AO447">
        <f t="shared" si="389"/>
        <v>-0.99494838403768815</v>
      </c>
      <c r="AP447" s="41" t="str">
        <f t="shared" si="390"/>
        <v>2,11545551415326-3,37621935244019i</v>
      </c>
      <c r="AQ447">
        <f t="shared" si="391"/>
        <v>12.006866262525486</v>
      </c>
      <c r="AR447" s="43">
        <f t="shared" si="392"/>
        <v>-57.929759780150626</v>
      </c>
      <c r="AS447" t="str">
        <f t="shared" si="369"/>
        <v>-0,0000166666666666667</v>
      </c>
      <c r="AT447" t="str">
        <f t="shared" si="370"/>
        <v>0,00406005925927614i</v>
      </c>
      <c r="AU447">
        <f t="shared" si="393"/>
        <v>4.06005925927614E-3</v>
      </c>
      <c r="AV447">
        <f t="shared" si="394"/>
        <v>1.5707963267948966</v>
      </c>
      <c r="AW447" t="str">
        <f t="shared" si="371"/>
        <v>1+1,36634171213114i</v>
      </c>
      <c r="AX447">
        <f t="shared" si="395"/>
        <v>1.6931892021594794</v>
      </c>
      <c r="AY447">
        <f t="shared" si="396"/>
        <v>0.93899236259230967</v>
      </c>
      <c r="AZ447" t="str">
        <f t="shared" si="372"/>
        <v>1+323,432602428756i</v>
      </c>
      <c r="BA447">
        <f t="shared" si="397"/>
        <v>323.43414834218993</v>
      </c>
      <c r="BB447">
        <f t="shared" si="398"/>
        <v>1.5677045023899687</v>
      </c>
      <c r="BC447" s="41" t="str">
        <f t="shared" si="399"/>
        <v>-0,461158935217801+0,634205719505516i</v>
      </c>
      <c r="BD447">
        <f t="shared" si="400"/>
        <v>-2.1120648404091833</v>
      </c>
      <c r="BE447" s="43">
        <f t="shared" si="401"/>
        <v>126.02255213904486</v>
      </c>
      <c r="BF447" s="41" t="str">
        <f t="shared" si="402"/>
        <v>2,4490349904508+0,360947939957516i</v>
      </c>
      <c r="BG447" s="20">
        <f t="shared" si="403"/>
        <v>7.8732271116764139</v>
      </c>
      <c r="BH447" s="43">
        <f t="shared" si="404"/>
        <v>8.384107617713342</v>
      </c>
      <c r="BI447" s="41" t="str">
        <f t="shared" si="409"/>
        <v>1,16565641121523+2,89860770806853i</v>
      </c>
      <c r="BJ447" s="20">
        <f t="shared" si="405"/>
        <v>9.8948014221162968</v>
      </c>
      <c r="BK447" s="43">
        <f t="shared" si="410"/>
        <v>68.092792358894329</v>
      </c>
      <c r="BL447">
        <f t="shared" si="406"/>
        <v>7.8732271116764139</v>
      </c>
      <c r="BM447" s="43">
        <f t="shared" si="407"/>
        <v>8.384107617713342</v>
      </c>
    </row>
    <row r="448" spans="14:65" x14ac:dyDescent="0.25">
      <c r="N448" s="9">
        <v>30</v>
      </c>
      <c r="O448" s="34">
        <f t="shared" si="408"/>
        <v>199526.23149688813</v>
      </c>
      <c r="P448" s="33" t="str">
        <f t="shared" si="360"/>
        <v>54,631621870174</v>
      </c>
      <c r="Q448" s="4" t="str">
        <f t="shared" si="361"/>
        <v>1+4996,61995468438i</v>
      </c>
      <c r="R448" s="4">
        <f t="shared" si="373"/>
        <v>4996.6200547520257</v>
      </c>
      <c r="S448" s="4">
        <f t="shared" si="374"/>
        <v>1.5705961915042965</v>
      </c>
      <c r="T448" s="4" t="str">
        <f t="shared" si="362"/>
        <v>1+62,683014306908i</v>
      </c>
      <c r="U448" s="4">
        <f t="shared" si="375"/>
        <v>62.690990442008754</v>
      </c>
      <c r="V448" s="4">
        <f t="shared" si="376"/>
        <v>1.5548443948682049</v>
      </c>
      <c r="W448" t="str">
        <f t="shared" si="363"/>
        <v>1-4,98873907252498i</v>
      </c>
      <c r="X448" s="4">
        <f t="shared" si="377"/>
        <v>5.0879777450120001</v>
      </c>
      <c r="Y448" s="4">
        <f t="shared" si="378"/>
        <v>-1.3729667144089206</v>
      </c>
      <c r="Z448" t="str">
        <f t="shared" si="364"/>
        <v>0,840757131778601+0,685412399430676i</v>
      </c>
      <c r="AA448" s="4">
        <f t="shared" si="379"/>
        <v>1.0847408501249949</v>
      </c>
      <c r="AB448" s="4">
        <f t="shared" si="380"/>
        <v>0.6839601852947006</v>
      </c>
      <c r="AC448" s="47" t="str">
        <f t="shared" si="381"/>
        <v>-1,54670097541413-2,81859376709074i</v>
      </c>
      <c r="AD448" s="20">
        <f t="shared" si="382"/>
        <v>10.143842115296824</v>
      </c>
      <c r="AE448" s="43">
        <f t="shared" si="383"/>
        <v>-118.75574158694315</v>
      </c>
      <c r="AF448" t="str">
        <f t="shared" si="365"/>
        <v>171,265703090588</v>
      </c>
      <c r="AG448" t="str">
        <f t="shared" si="366"/>
        <v>1+4948,80221459486i</v>
      </c>
      <c r="AH448">
        <f t="shared" si="384"/>
        <v>4948.8023156294084</v>
      </c>
      <c r="AI448">
        <f t="shared" si="385"/>
        <v>1.5705942576995831</v>
      </c>
      <c r="AJ448" t="str">
        <f t="shared" si="367"/>
        <v>1+62,683014306908i</v>
      </c>
      <c r="AK448">
        <f t="shared" si="386"/>
        <v>62.690990442008754</v>
      </c>
      <c r="AL448">
        <f t="shared" si="387"/>
        <v>1.5548443948682049</v>
      </c>
      <c r="AM448" t="str">
        <f t="shared" si="368"/>
        <v>1-1,57611501032636i</v>
      </c>
      <c r="AN448">
        <f t="shared" si="388"/>
        <v>1.8665847223675816</v>
      </c>
      <c r="AO448">
        <f t="shared" si="389"/>
        <v>-1.0054150443110608</v>
      </c>
      <c r="AP448" s="41" t="str">
        <f t="shared" si="390"/>
        <v>2,11545518864914-3,45325074825887i</v>
      </c>
      <c r="AQ448">
        <f t="shared" si="391"/>
        <v>12.148462680551454</v>
      </c>
      <c r="AR448" s="43">
        <f t="shared" si="392"/>
        <v>-58.508439366130375</v>
      </c>
      <c r="AS448" t="str">
        <f t="shared" si="369"/>
        <v>-0,0000166666666666667</v>
      </c>
      <c r="AT448" t="str">
        <f t="shared" si="370"/>
        <v>0,00415463018826186i</v>
      </c>
      <c r="AU448">
        <f t="shared" si="393"/>
        <v>4.1546301882618604E-3</v>
      </c>
      <c r="AV448">
        <f t="shared" si="394"/>
        <v>1.5707963267948966</v>
      </c>
      <c r="AW448" t="str">
        <f t="shared" si="371"/>
        <v>1+1,39816789908468i</v>
      </c>
      <c r="AX448">
        <f t="shared" si="395"/>
        <v>1.7189745414144062</v>
      </c>
      <c r="AY448">
        <f t="shared" si="396"/>
        <v>0.9499273510702626</v>
      </c>
      <c r="AZ448" t="str">
        <f t="shared" si="372"/>
        <v>1+330,966315540474i</v>
      </c>
      <c r="BA448">
        <f t="shared" si="397"/>
        <v>330.96782626478449</v>
      </c>
      <c r="BB448">
        <f t="shared" si="398"/>
        <v>1.5677748804724236</v>
      </c>
      <c r="BC448" s="41" t="str">
        <f t="shared" si="399"/>
        <v>-0,447427546800486+0,62959042159824i</v>
      </c>
      <c r="BD448">
        <f t="shared" si="400"/>
        <v>-2.2433457983148166</v>
      </c>
      <c r="BE448" s="43">
        <f t="shared" si="401"/>
        <v>125.40005581732882</v>
      </c>
      <c r="BF448" s="41" t="str">
        <f t="shared" si="402"/>
        <v>2,46659626120029+0,287328375439159i</v>
      </c>
      <c r="BG448" s="20">
        <f t="shared" si="403"/>
        <v>7.9004963169819922</v>
      </c>
      <c r="BH448" s="43">
        <f t="shared" si="404"/>
        <v>6.6443142303856879</v>
      </c>
      <c r="BI448" s="41" t="str">
        <f t="shared" si="409"/>
        <v>1,2276206690571+2,87694983487421i</v>
      </c>
      <c r="BJ448" s="20">
        <f t="shared" si="405"/>
        <v>9.9051168822366531</v>
      </c>
      <c r="BK448" s="43">
        <f t="shared" si="410"/>
        <v>66.891616451198416</v>
      </c>
      <c r="BL448">
        <f t="shared" si="406"/>
        <v>7.9004963169819922</v>
      </c>
      <c r="BM448" s="43">
        <f t="shared" si="407"/>
        <v>6.6443142303856879</v>
      </c>
    </row>
    <row r="449" spans="14:65" x14ac:dyDescent="0.25">
      <c r="N449" s="9">
        <v>31</v>
      </c>
      <c r="O449" s="34">
        <f t="shared" si="408"/>
        <v>204173.79446695308</v>
      </c>
      <c r="P449" s="33" t="str">
        <f t="shared" si="360"/>
        <v>54,631621870174</v>
      </c>
      <c r="Q449" s="4" t="str">
        <f t="shared" si="361"/>
        <v>1+5113,00618471869i</v>
      </c>
      <c r="R449" s="4">
        <f t="shared" si="373"/>
        <v>5113.0062825085179</v>
      </c>
      <c r="S449" s="4">
        <f t="shared" si="374"/>
        <v>1.570600747139578</v>
      </c>
      <c r="T449" s="4" t="str">
        <f t="shared" si="362"/>
        <v>1+64,143089275293i</v>
      </c>
      <c r="U449" s="4">
        <f t="shared" si="375"/>
        <v>64.150883873709859</v>
      </c>
      <c r="V449" s="4">
        <f t="shared" si="376"/>
        <v>1.5552074456608571</v>
      </c>
      <c r="W449" t="str">
        <f t="shared" si="363"/>
        <v>1-5,10494173323199i</v>
      </c>
      <c r="X449" s="4">
        <f t="shared" si="377"/>
        <v>5.2019640617456826</v>
      </c>
      <c r="Y449" s="4">
        <f t="shared" si="378"/>
        <v>-1.3773571227719514</v>
      </c>
      <c r="Z449" t="str">
        <f t="shared" si="364"/>
        <v>0,833252246611867+0,701377705159746i</v>
      </c>
      <c r="AA449" s="4">
        <f t="shared" si="379"/>
        <v>1.0891464510243216</v>
      </c>
      <c r="AB449" s="4">
        <f t="shared" si="380"/>
        <v>0.69967628129644233</v>
      </c>
      <c r="AC449" s="47" t="str">
        <f t="shared" si="381"/>
        <v>-1,63131354531964-2,83840619068209i</v>
      </c>
      <c r="AD449" s="20">
        <f t="shared" si="382"/>
        <v>10.301029574683207</v>
      </c>
      <c r="AE449" s="43">
        <f t="shared" si="383"/>
        <v>-119.88721916831274</v>
      </c>
      <c r="AF449" t="str">
        <f t="shared" si="365"/>
        <v>171,265703090588</v>
      </c>
      <c r="AG449" t="str">
        <f t="shared" si="366"/>
        <v>1+5064,07462637838i</v>
      </c>
      <c r="AH449">
        <f t="shared" si="384"/>
        <v>5064.0747251131006</v>
      </c>
      <c r="AI449">
        <f t="shared" si="385"/>
        <v>1.5705988573536303</v>
      </c>
      <c r="AJ449" t="str">
        <f t="shared" si="367"/>
        <v>1+64,143089275293i</v>
      </c>
      <c r="AK449">
        <f t="shared" si="386"/>
        <v>64.150883873709859</v>
      </c>
      <c r="AL449">
        <f t="shared" si="387"/>
        <v>1.5552074456608571</v>
      </c>
      <c r="AM449" t="str">
        <f t="shared" si="368"/>
        <v>1-1,61282744509546i</v>
      </c>
      <c r="AN449">
        <f t="shared" si="388"/>
        <v>1.8976860561360378</v>
      </c>
      <c r="AO449">
        <f t="shared" si="389"/>
        <v>-1.0157795570596342</v>
      </c>
      <c r="AP449" s="41" t="str">
        <f t="shared" si="390"/>
        <v>2,11545487779512-3,5321131033275i</v>
      </c>
      <c r="AQ449">
        <f t="shared" si="391"/>
        <v>12.291946145621875</v>
      </c>
      <c r="AR449" s="43">
        <f t="shared" si="392"/>
        <v>-59.081744465929447</v>
      </c>
      <c r="AS449" t="str">
        <f t="shared" si="369"/>
        <v>-0,0000166666666666667</v>
      </c>
      <c r="AT449" t="str">
        <f t="shared" si="370"/>
        <v>0,00425140395716643i</v>
      </c>
      <c r="AU449">
        <f t="shared" si="393"/>
        <v>4.2514039571664303E-3</v>
      </c>
      <c r="AV449">
        <f t="shared" si="394"/>
        <v>1.5707963267948966</v>
      </c>
      <c r="AW449" t="str">
        <f t="shared" si="371"/>
        <v>1+1,43073541316526i</v>
      </c>
      <c r="AX449">
        <f t="shared" si="395"/>
        <v>1.7455669057601795</v>
      </c>
      <c r="AY449">
        <f t="shared" si="396"/>
        <v>0.96078128547531227</v>
      </c>
      <c r="AZ449" t="str">
        <f t="shared" si="372"/>
        <v>1+338,675511373547i</v>
      </c>
      <c r="BA449">
        <f t="shared" si="397"/>
        <v>338.67698770972549</v>
      </c>
      <c r="BB449">
        <f t="shared" si="398"/>
        <v>1.56784365658306</v>
      </c>
      <c r="BC449" s="41" t="str">
        <f t="shared" si="399"/>
        <v>-0,433898959966893+0,624714881353258i</v>
      </c>
      <c r="BD449">
        <f t="shared" si="400"/>
        <v>-2.3766886794408228</v>
      </c>
      <c r="BE449" s="43">
        <f t="shared" si="401"/>
        <v>124.78211176567852</v>
      </c>
      <c r="BF449" s="41" t="str">
        <f t="shared" si="402"/>
        <v>2,48101983733841+0,212475646186228i</v>
      </c>
      <c r="BG449" s="20">
        <f t="shared" si="403"/>
        <v>7.9243408952423771</v>
      </c>
      <c r="BH449" s="43">
        <f t="shared" si="404"/>
        <v>4.8948925973657822</v>
      </c>
      <c r="BI449" s="41" t="str">
        <f t="shared" si="409"/>
        <v>1,28866994693933+2,85413634500919i</v>
      </c>
      <c r="BJ449" s="20">
        <f t="shared" si="405"/>
        <v>9.9152574661810569</v>
      </c>
      <c r="BK449" s="43">
        <f t="shared" si="410"/>
        <v>65.700367299749175</v>
      </c>
      <c r="BL449">
        <f t="shared" si="406"/>
        <v>7.9243408952423771</v>
      </c>
      <c r="BM449" s="43">
        <f t="shared" si="407"/>
        <v>4.8948925973657822</v>
      </c>
    </row>
    <row r="450" spans="14:65" x14ac:dyDescent="0.25">
      <c r="N450" s="9">
        <v>32</v>
      </c>
      <c r="O450" s="34">
        <f t="shared" si="408"/>
        <v>208929.61308540447</v>
      </c>
      <c r="P450" s="33" t="str">
        <f t="shared" si="360"/>
        <v>54,631621870174</v>
      </c>
      <c r="Q450" s="4" t="str">
        <f t="shared" si="361"/>
        <v>1+5232,10339831082i</v>
      </c>
      <c r="R450" s="4">
        <f t="shared" si="373"/>
        <v>5232.1034938746798</v>
      </c>
      <c r="S450" s="4">
        <f t="shared" si="374"/>
        <v>1.5706051990759478</v>
      </c>
      <c r="T450" s="4" t="str">
        <f t="shared" si="362"/>
        <v>1+65,6371737586465i</v>
      </c>
      <c r="U450" s="4">
        <f t="shared" si="375"/>
        <v>65.644790951169554</v>
      </c>
      <c r="V450" s="4">
        <f t="shared" si="376"/>
        <v>1.5555622363797665</v>
      </c>
      <c r="W450" t="str">
        <f t="shared" si="363"/>
        <v>1-5,22385110161789i</v>
      </c>
      <c r="X450" s="4">
        <f t="shared" si="377"/>
        <v>5.3187047607358737</v>
      </c>
      <c r="Y450" s="4">
        <f t="shared" si="378"/>
        <v>-1.38165490274948</v>
      </c>
      <c r="Z450" t="str">
        <f t="shared" si="364"/>
        <v>0,825393667103932+0,717714890631929i</v>
      </c>
      <c r="AA450" s="4">
        <f t="shared" si="379"/>
        <v>1.0937958538640007</v>
      </c>
      <c r="AB450" s="4">
        <f t="shared" si="380"/>
        <v>0.71573066588841749</v>
      </c>
      <c r="AC450" s="47" t="str">
        <f t="shared" si="381"/>
        <v>-1,71828826499814-2,85595760899309i</v>
      </c>
      <c r="AD450" s="20">
        <f t="shared" si="382"/>
        <v>10.456752961742822</v>
      </c>
      <c r="AE450" s="43">
        <f t="shared" si="383"/>
        <v>-121.03323936846169</v>
      </c>
      <c r="AF450" t="str">
        <f t="shared" si="365"/>
        <v>171,265703090588</v>
      </c>
      <c r="AG450" t="str">
        <f t="shared" si="366"/>
        <v>1+5182,0320775598i</v>
      </c>
      <c r="AH450">
        <f t="shared" si="384"/>
        <v>5182.0321740470445</v>
      </c>
      <c r="AI450">
        <f t="shared" si="385"/>
        <v>1.5706033523067768</v>
      </c>
      <c r="AJ450" t="str">
        <f t="shared" si="367"/>
        <v>1+65,6371737586465i</v>
      </c>
      <c r="AK450">
        <f t="shared" si="386"/>
        <v>65.644790951169554</v>
      </c>
      <c r="AL450">
        <f t="shared" si="387"/>
        <v>1.5555622363797665</v>
      </c>
      <c r="AM450" t="str">
        <f t="shared" si="368"/>
        <v>1-1,65039502232427i</v>
      </c>
      <c r="AN450">
        <f t="shared" si="388"/>
        <v>1.9297159712539893</v>
      </c>
      <c r="AO450">
        <f t="shared" si="389"/>
        <v>-1.0260385102470249</v>
      </c>
      <c r="AP450" s="41" t="str">
        <f t="shared" si="390"/>
        <v>2,11545458093184-3,61284823151109i</v>
      </c>
      <c r="AQ450">
        <f t="shared" si="391"/>
        <v>12.437279152393408</v>
      </c>
      <c r="AR450" s="43">
        <f t="shared" si="392"/>
        <v>-59.649468716829645</v>
      </c>
      <c r="AS450" t="str">
        <f t="shared" si="369"/>
        <v>-0,0000166666666666667</v>
      </c>
      <c r="AT450" t="str">
        <f t="shared" si="370"/>
        <v>0,00435043187672309i</v>
      </c>
      <c r="AU450">
        <f t="shared" si="393"/>
        <v>4.35043187672309E-3</v>
      </c>
      <c r="AV450">
        <f t="shared" si="394"/>
        <v>1.5707963267948966</v>
      </c>
      <c r="AW450" t="str">
        <f t="shared" si="371"/>
        <v>1+1,46406152209992i</v>
      </c>
      <c r="AX450">
        <f t="shared" si="395"/>
        <v>1.7729850931391202</v>
      </c>
      <c r="AY450">
        <f t="shared" si="396"/>
        <v>0.97154969142432179</v>
      </c>
      <c r="AZ450" t="str">
        <f t="shared" si="372"/>
        <v>1+346,564277445653i</v>
      </c>
      <c r="BA450">
        <f t="shared" si="397"/>
        <v>346.5657201764588</v>
      </c>
      <c r="BB450">
        <f t="shared" si="398"/>
        <v>1.5679108671852779</v>
      </c>
      <c r="BC450" s="41" t="str">
        <f t="shared" si="399"/>
        <v>-0,420582734050556+0,619590035054461i</v>
      </c>
      <c r="BD450">
        <f t="shared" si="400"/>
        <v>-2.5120620763813877</v>
      </c>
      <c r="BE450" s="43">
        <f t="shared" si="401"/>
        <v>124.16897843656228</v>
      </c>
      <c r="BF450" s="41" t="str">
        <f t="shared" si="402"/>
        <v>2,49220525144999+0,136532173178936i</v>
      </c>
      <c r="BG450" s="20">
        <f t="shared" si="403"/>
        <v>7.9446908853614424</v>
      </c>
      <c r="BH450" s="43">
        <f t="shared" si="404"/>
        <v>3.1357390681005866</v>
      </c>
      <c r="BI450" s="41" t="str">
        <f t="shared" si="409"/>
        <v>1,34876109100032+2,83021616487433i</v>
      </c>
      <c r="BJ450" s="20">
        <f t="shared" si="405"/>
        <v>9.9252170760120233</v>
      </c>
      <c r="BK450" s="43">
        <f t="shared" si="410"/>
        <v>64.519509719732611</v>
      </c>
      <c r="BL450">
        <f t="shared" si="406"/>
        <v>7.9446908853614424</v>
      </c>
      <c r="BM450" s="43">
        <f t="shared" si="407"/>
        <v>3.1357390681005866</v>
      </c>
    </row>
    <row r="451" spans="14:65" x14ac:dyDescent="0.25">
      <c r="N451" s="9">
        <v>33</v>
      </c>
      <c r="O451" s="34">
        <f t="shared" si="408"/>
        <v>213796.20895022334</v>
      </c>
      <c r="P451" s="33" t="str">
        <f t="shared" si="360"/>
        <v>54,631621870174</v>
      </c>
      <c r="Q451" s="4" t="str">
        <f t="shared" si="361"/>
        <v>1+5353,97474237977i</v>
      </c>
      <c r="R451" s="4">
        <f t="shared" si="373"/>
        <v>5353.9748357683302</v>
      </c>
      <c r="S451" s="4">
        <f t="shared" si="374"/>
        <v>1.5706095496738812</v>
      </c>
      <c r="T451" s="4" t="str">
        <f t="shared" si="362"/>
        <v>1+67,166059940337i</v>
      </c>
      <c r="U451" s="4">
        <f t="shared" si="375"/>
        <v>67.173503763827469</v>
      </c>
      <c r="V451" s="4">
        <f t="shared" si="376"/>
        <v>1.5559089547821847</v>
      </c>
      <c r="W451" t="str">
        <f t="shared" si="363"/>
        <v>1-5,34553022500367i</v>
      </c>
      <c r="X451" s="4">
        <f t="shared" si="377"/>
        <v>5.4382619821435405</v>
      </c>
      <c r="Y451" s="4">
        <f t="shared" si="378"/>
        <v>-1.3858616977038349</v>
      </c>
      <c r="Z451" t="str">
        <f t="shared" si="364"/>
        <v>0,817164724154049+0,734432618039199i</v>
      </c>
      <c r="AA451" s="4">
        <f t="shared" si="379"/>
        <v>1.0987035345541012</v>
      </c>
      <c r="AB451" s="4">
        <f t="shared" si="380"/>
        <v>0.73212800593290628</v>
      </c>
      <c r="AC451" s="47" t="str">
        <f t="shared" si="381"/>
        <v>-1,80759601180575-2,8710634666744i</v>
      </c>
      <c r="AD451" s="20">
        <f t="shared" si="382"/>
        <v>10.610907470949725</v>
      </c>
      <c r="AE451" s="43">
        <f t="shared" si="383"/>
        <v>-122.19415311417517</v>
      </c>
      <c r="AF451" t="str">
        <f t="shared" si="365"/>
        <v>171,265703090588</v>
      </c>
      <c r="AG451" t="str">
        <f t="shared" si="366"/>
        <v>1+5302,73711074101i</v>
      </c>
      <c r="AH451">
        <f t="shared" si="384"/>
        <v>5302.7372050319364</v>
      </c>
      <c r="AI451">
        <f t="shared" si="385"/>
        <v>1.5706077449423057</v>
      </c>
      <c r="AJ451" t="str">
        <f t="shared" si="367"/>
        <v>1+67,166059940337i</v>
      </c>
      <c r="AK451">
        <f t="shared" si="386"/>
        <v>67.173503763827469</v>
      </c>
      <c r="AL451">
        <f t="shared" si="387"/>
        <v>1.5559089547821847</v>
      </c>
      <c r="AM451" t="str">
        <f t="shared" si="368"/>
        <v>1-1,68883766083946i</v>
      </c>
      <c r="AN451">
        <f t="shared" si="388"/>
        <v>1.962695250075696</v>
      </c>
      <c r="AO451">
        <f t="shared" si="389"/>
        <v>-1.036188705170344</v>
      </c>
      <c r="AP451" s="41" t="str">
        <f t="shared" si="390"/>
        <v>2,11545429742961-3,69549893964354i</v>
      </c>
      <c r="AQ451">
        <f t="shared" si="391"/>
        <v>12.584423402900695</v>
      </c>
      <c r="AR451" s="43">
        <f t="shared" si="392"/>
        <v>-60.211418225509576</v>
      </c>
      <c r="AS451" t="str">
        <f t="shared" si="369"/>
        <v>-0,0000166666666666667</v>
      </c>
      <c r="AT451" t="str">
        <f t="shared" si="370"/>
        <v>0,00445176645284554i</v>
      </c>
      <c r="AU451">
        <f t="shared" si="393"/>
        <v>4.4517664528455399E-3</v>
      </c>
      <c r="AV451">
        <f t="shared" si="394"/>
        <v>1.5707963267948966</v>
      </c>
      <c r="AW451" t="str">
        <f t="shared" si="371"/>
        <v>1+1,49816389583274i</v>
      </c>
      <c r="AX451">
        <f t="shared" si="395"/>
        <v>1.8012481946630043</v>
      </c>
      <c r="AY451">
        <f t="shared" si="396"/>
        <v>0.9822282890116929</v>
      </c>
      <c r="AZ451" t="str">
        <f t="shared" si="372"/>
        <v>1+354,636796484979i</v>
      </c>
      <c r="BA451">
        <f t="shared" si="397"/>
        <v>354.6382063753544</v>
      </c>
      <c r="BB451">
        <f t="shared" si="398"/>
        <v>1.5679765479125982</v>
      </c>
      <c r="BC451" s="41" t="str">
        <f t="shared" si="399"/>
        <v>-0,407487687803699+0,614227174080405i</v>
      </c>
      <c r="BD451">
        <f t="shared" si="400"/>
        <v>-2.6494331913171809</v>
      </c>
      <c r="BE451" s="43">
        <f t="shared" si="401"/>
        <v>123.56090309215806</v>
      </c>
      <c r="BF451" s="41" t="str">
        <f t="shared" si="402"/>
        <v>2,50005831907482+0,0596484233623675i</v>
      </c>
      <c r="BG451" s="20">
        <f t="shared" si="403"/>
        <v>7.9614742796325437</v>
      </c>
      <c r="BH451" s="43">
        <f t="shared" si="404"/>
        <v>1.366749977982884</v>
      </c>
      <c r="BI451" s="41" t="str">
        <f t="shared" si="409"/>
        <v>1,40785429020039+2,80523983320281i</v>
      </c>
      <c r="BJ451" s="20">
        <f t="shared" si="405"/>
        <v>9.9349902115835196</v>
      </c>
      <c r="BK451" s="43">
        <f t="shared" si="410"/>
        <v>63.349484866648581</v>
      </c>
      <c r="BL451">
        <f t="shared" si="406"/>
        <v>7.9614742796325437</v>
      </c>
      <c r="BM451" s="43">
        <f t="shared" si="407"/>
        <v>1.366749977982884</v>
      </c>
    </row>
    <row r="452" spans="14:65" x14ac:dyDescent="0.25">
      <c r="N452" s="9">
        <v>34</v>
      </c>
      <c r="O452" s="34">
        <f t="shared" si="408"/>
        <v>218776.16239495538</v>
      </c>
      <c r="P452" s="33" t="str">
        <f t="shared" si="360"/>
        <v>54,631621870174</v>
      </c>
      <c r="Q452" s="4" t="str">
        <f t="shared" si="361"/>
        <v>1+5478,68483472538i</v>
      </c>
      <c r="R452" s="4">
        <f t="shared" si="373"/>
        <v>5478.6849259881583</v>
      </c>
      <c r="S452" s="4">
        <f t="shared" si="374"/>
        <v>1.5706138012401218</v>
      </c>
      <c r="T452" s="4" t="str">
        <f t="shared" si="362"/>
        <v>1+68,730558456056i</v>
      </c>
      <c r="U452" s="4">
        <f t="shared" si="375"/>
        <v>68.737832855577651</v>
      </c>
      <c r="V452" s="4">
        <f t="shared" si="376"/>
        <v>1.5562477843691647</v>
      </c>
      <c r="W452" t="str">
        <f t="shared" si="363"/>
        <v>1-5,47004361927122i</v>
      </c>
      <c r="X452" s="4">
        <f t="shared" si="377"/>
        <v>5.5606993442129005</v>
      </c>
      <c r="Y452" s="4">
        <f t="shared" si="378"/>
        <v>-1.3899791422585981</v>
      </c>
      <c r="Z452" t="str">
        <f t="shared" si="364"/>
        <v>0,808547963070944+0,75153975134192i</v>
      </c>
      <c r="AA452" s="4">
        <f t="shared" si="379"/>
        <v>1.1038848700988919</v>
      </c>
      <c r="AB452" s="4">
        <f t="shared" si="380"/>
        <v>0.74887274416813654</v>
      </c>
      <c r="AC452" s="47" t="str">
        <f t="shared" si="381"/>
        <v>-1,89919578475997-2,88353311531681i</v>
      </c>
      <c r="AD452" s="20">
        <f t="shared" si="382"/>
        <v>10.763384751439432</v>
      </c>
      <c r="AE452" s="43">
        <f t="shared" si="383"/>
        <v>-123.37029823096591</v>
      </c>
      <c r="AF452" t="str">
        <f t="shared" si="365"/>
        <v>171,265703090588</v>
      </c>
      <c r="AG452" t="str">
        <f t="shared" si="366"/>
        <v>1+5426,25372532837i</v>
      </c>
      <c r="AH452">
        <f t="shared" si="384"/>
        <v>5426.2538174729734</v>
      </c>
      <c r="AI452">
        <f t="shared" si="385"/>
        <v>1.5706120375892498</v>
      </c>
      <c r="AJ452" t="str">
        <f t="shared" si="367"/>
        <v>1+68,730558456056i</v>
      </c>
      <c r="AK452">
        <f t="shared" si="386"/>
        <v>68.737832855577651</v>
      </c>
      <c r="AL452">
        <f t="shared" si="387"/>
        <v>1.5562477843691647</v>
      </c>
      <c r="AM452" t="str">
        <f t="shared" si="368"/>
        <v>1-1,72817574343684i</v>
      </c>
      <c r="AN452">
        <f t="shared" si="388"/>
        <v>1.9966450361051846</v>
      </c>
      <c r="AO452">
        <f t="shared" si="389"/>
        <v>-1.0462271571931236</v>
      </c>
      <c r="AP452" s="41" t="str">
        <f t="shared" si="390"/>
        <v>2,11545402668707-3,78010905022469i</v>
      </c>
      <c r="AQ452">
        <f t="shared" si="391"/>
        <v>12.733339918231206</v>
      </c>
      <c r="AR452" s="43">
        <f t="shared" si="392"/>
        <v>-60.767411604504204</v>
      </c>
      <c r="AS452" t="str">
        <f t="shared" si="369"/>
        <v>-0,0000166666666666667</v>
      </c>
      <c r="AT452" t="str">
        <f t="shared" si="370"/>
        <v>0,00455546141446739i</v>
      </c>
      <c r="AU452">
        <f t="shared" si="393"/>
        <v>4.5554614144673903E-3</v>
      </c>
      <c r="AV452">
        <f t="shared" si="394"/>
        <v>1.5707963267948966</v>
      </c>
      <c r="AW452" t="str">
        <f t="shared" si="371"/>
        <v>1+1,53306061589368i</v>
      </c>
      <c r="AX452">
        <f t="shared" si="395"/>
        <v>1.830375604078111</v>
      </c>
      <c r="AY452">
        <f t="shared" si="396"/>
        <v>0.99281299847761517</v>
      </c>
      <c r="AZ452" t="str">
        <f t="shared" si="372"/>
        <v>1+362,897348647975i</v>
      </c>
      <c r="BA452">
        <f t="shared" si="397"/>
        <v>362.89872644545051</v>
      </c>
      <c r="BB452">
        <f t="shared" si="398"/>
        <v>1.5680407335875437</v>
      </c>
      <c r="BC452" s="41" t="str">
        <f t="shared" si="399"/>
        <v>-0,394621888649081+0,608637887848501i</v>
      </c>
      <c r="BD452">
        <f t="shared" si="400"/>
        <v>-2.7887679489302379</v>
      </c>
      <c r="BE452" s="43">
        <f t="shared" si="401"/>
        <v>122.95812148066823</v>
      </c>
      <c r="BF452" s="41" t="str">
        <f t="shared" si="402"/>
        <v>2,50449173234398-0,0180172270985968i</v>
      </c>
      <c r="BG452" s="20">
        <f t="shared" si="403"/>
        <v>7.9746168025091793</v>
      </c>
      <c r="BH452" s="43">
        <f t="shared" si="404"/>
        <v>-0.41217675029770223</v>
      </c>
      <c r="BI452" s="41" t="str">
        <f t="shared" si="409"/>
        <v>1,4659131248042+2,77925924334258i</v>
      </c>
      <c r="BJ452" s="20">
        <f t="shared" si="405"/>
        <v>9.9445719693009735</v>
      </c>
      <c r="BK452" s="43">
        <f t="shared" si="410"/>
        <v>62.190709876164121</v>
      </c>
      <c r="BL452">
        <f t="shared" si="406"/>
        <v>7.9746168025091793</v>
      </c>
      <c r="BM452" s="43">
        <f t="shared" si="407"/>
        <v>-0.41217675029770223</v>
      </c>
    </row>
    <row r="453" spans="14:65" x14ac:dyDescent="0.25">
      <c r="N453" s="9">
        <v>35</v>
      </c>
      <c r="O453" s="34">
        <f t="shared" si="408"/>
        <v>223872.11385683404</v>
      </c>
      <c r="P453" s="33" t="str">
        <f t="shared" si="360"/>
        <v>54,631621870174</v>
      </c>
      <c r="Q453" s="4" t="str">
        <f t="shared" si="361"/>
        <v>1+5606,29979828934i</v>
      </c>
      <c r="R453" s="4">
        <f t="shared" si="373"/>
        <v>5606.2998874747236</v>
      </c>
      <c r="S453" s="4">
        <f t="shared" si="374"/>
        <v>1.570617956028906</v>
      </c>
      <c r="T453" s="4" t="str">
        <f t="shared" si="362"/>
        <v>1+70,331498823625i</v>
      </c>
      <c r="U453" s="4">
        <f t="shared" si="375"/>
        <v>70.338607654527564</v>
      </c>
      <c r="V453" s="4">
        <f t="shared" si="376"/>
        <v>1.5565789044812635</v>
      </c>
      <c r="W453" t="str">
        <f t="shared" si="363"/>
        <v>1-5,59745730307031i</v>
      </c>
      <c r="X453" s="4">
        <f t="shared" si="377"/>
        <v>5.6860819779260261</v>
      </c>
      <c r="Y453" s="4">
        <f t="shared" si="378"/>
        <v>-1.3940088608281092</v>
      </c>
      <c r="Z453" t="str">
        <f t="shared" si="364"/>
        <v>0,799525106549089+0,769045360968609i</v>
      </c>
      <c r="AA453" s="4">
        <f t="shared" si="379"/>
        <v>1.1093561931271985</v>
      </c>
      <c r="AB453" s="4">
        <f t="shared" si="380"/>
        <v>0.76596906483287375</v>
      </c>
      <c r="AC453" s="47" t="str">
        <f t="shared" si="381"/>
        <v>-1,99303364934346-2,893170351233i</v>
      </c>
      <c r="AD453" s="20">
        <f t="shared" si="382"/>
        <v>10.914072811952501</v>
      </c>
      <c r="AE453" s="43">
        <f t="shared" si="383"/>
        <v>-124.56199738384312</v>
      </c>
      <c r="AF453" t="str">
        <f t="shared" si="365"/>
        <v>171,265703090588</v>
      </c>
      <c r="AG453" t="str">
        <f t="shared" si="366"/>
        <v>1+5552,64741146587i</v>
      </c>
      <c r="AH453">
        <f t="shared" si="384"/>
        <v>5552.6475015130063</v>
      </c>
      <c r="AI453">
        <f t="shared" si="385"/>
        <v>1.5706162325236264</v>
      </c>
      <c r="AJ453" t="str">
        <f t="shared" si="367"/>
        <v>1+70,331498823625i</v>
      </c>
      <c r="AK453">
        <f t="shared" si="386"/>
        <v>70.338607654527564</v>
      </c>
      <c r="AL453">
        <f t="shared" si="387"/>
        <v>1.5565789044812635</v>
      </c>
      <c r="AM453" t="str">
        <f t="shared" si="368"/>
        <v>1-1,76843012768851i</v>
      </c>
      <c r="AN453">
        <f t="shared" si="388"/>
        <v>2.0315868469047538</v>
      </c>
      <c r="AO453">
        <f t="shared" si="389"/>
        <v>-1.0561510956250444</v>
      </c>
      <c r="AP453" s="41" t="str">
        <f t="shared" si="390"/>
        <v>2,11545376812994-3,86672342465546i</v>
      </c>
      <c r="AQ453">
        <f t="shared" si="391"/>
        <v>12.883989148083066</v>
      </c>
      <c r="AR453" s="43">
        <f t="shared" si="392"/>
        <v>-61.317279959901107</v>
      </c>
      <c r="AS453" t="str">
        <f t="shared" si="369"/>
        <v>-0,0000166666666666667</v>
      </c>
      <c r="AT453" t="str">
        <f t="shared" si="370"/>
        <v>0,00466157174202985i</v>
      </c>
      <c r="AU453">
        <f t="shared" si="393"/>
        <v>4.6615717420298497E-3</v>
      </c>
      <c r="AV453">
        <f t="shared" si="394"/>
        <v>1.5707963267948966</v>
      </c>
      <c r="AW453" t="str">
        <f t="shared" si="371"/>
        <v>1+1,56877018498562i</v>
      </c>
      <c r="AX453">
        <f t="shared" si="395"/>
        <v>1.8603870278250749</v>
      </c>
      <c r="AY453">
        <f t="shared" si="396"/>
        <v>1.0032999448864266</v>
      </c>
      <c r="AZ453" t="str">
        <f t="shared" si="372"/>
        <v>1+371,35031378874i</v>
      </c>
      <c r="BA453">
        <f t="shared" si="397"/>
        <v>371.351660223831</v>
      </c>
      <c r="BB453">
        <f t="shared" si="398"/>
        <v>1.5681034582400921</v>
      </c>
      <c r="BC453" s="41" t="str">
        <f t="shared" si="399"/>
        <v>-0,381992646820074+0,602834007225178i</v>
      </c>
      <c r="BD453">
        <f t="shared" si="400"/>
        <v>-2.9300311105726324</v>
      </c>
      <c r="BE453" s="43">
        <f t="shared" si="401"/>
        <v>122.36085756932577</v>
      </c>
      <c r="BF453" s="41" t="str">
        <f t="shared" si="402"/>
        <v>2,50542567533304-0,0962986611994814i</v>
      </c>
      <c r="BG453" s="20">
        <f t="shared" si="403"/>
        <v>7.9840417013798524</v>
      </c>
      <c r="BH453" s="43">
        <f t="shared" si="404"/>
        <v>-2.2011398145173433</v>
      </c>
      <c r="BI453" s="41" t="str">
        <f t="shared" si="409"/>
        <v>1,52290459280306+2,75232738764669i</v>
      </c>
      <c r="BJ453" s="20">
        <f t="shared" si="405"/>
        <v>9.9539580375104251</v>
      </c>
      <c r="BK453" s="43">
        <f t="shared" si="410"/>
        <v>61.043577609424638</v>
      </c>
      <c r="BL453">
        <f t="shared" si="406"/>
        <v>7.9840417013798524</v>
      </c>
      <c r="BM453" s="43">
        <f t="shared" si="407"/>
        <v>-2.2011398145173433</v>
      </c>
    </row>
    <row r="454" spans="14:65" x14ac:dyDescent="0.25">
      <c r="N454" s="9">
        <v>36</v>
      </c>
      <c r="O454" s="34">
        <f t="shared" si="408"/>
        <v>229086.76527677779</v>
      </c>
      <c r="P454" s="33" t="str">
        <f t="shared" si="360"/>
        <v>54,631621870174</v>
      </c>
      <c r="Q454" s="4" t="str">
        <f t="shared" si="361"/>
        <v>1+5736,88729621448i</v>
      </c>
      <c r="R454" s="4">
        <f t="shared" si="373"/>
        <v>5736.8873833697544</v>
      </c>
      <c r="S454" s="4">
        <f t="shared" si="374"/>
        <v>1.5706220162431568</v>
      </c>
      <c r="T454" s="4" t="str">
        <f t="shared" si="362"/>
        <v>1+71,9697298828175i</v>
      </c>
      <c r="U454" s="4">
        <f t="shared" si="375"/>
        <v>71.97667691277303</v>
      </c>
      <c r="V454" s="4">
        <f t="shared" si="376"/>
        <v>1.5569024903921476</v>
      </c>
      <c r="W454" t="str">
        <f t="shared" si="363"/>
        <v>1-5,72783883282257i</v>
      </c>
      <c r="X454" s="4">
        <f t="shared" si="377"/>
        <v>5.8144765624078509</v>
      </c>
      <c r="Y454" s="4">
        <f t="shared" si="378"/>
        <v>-1.3979524662673557</v>
      </c>
      <c r="Z454" t="str">
        <f t="shared" si="364"/>
        <v>0,790077015900089+0,7869587286252i</v>
      </c>
      <c r="AA454" s="4">
        <f t="shared" si="379"/>
        <v>1.1151348490711699</v>
      </c>
      <c r="AB454" s="4">
        <f t="shared" si="380"/>
        <v>0.78342085678165718</v>
      </c>
      <c r="AC454" s="47" t="str">
        <f t="shared" si="381"/>
        <v>-2,08904166263976-2,89977407815311i</v>
      </c>
      <c r="AD454" s="20">
        <f t="shared" si="382"/>
        <v>11.06285594171176</v>
      </c>
      <c r="AE454" s="43">
        <f t="shared" si="383"/>
        <v>-125.76955588131942</v>
      </c>
      <c r="AF454" t="str">
        <f t="shared" si="365"/>
        <v>171,265703090588</v>
      </c>
      <c r="AG454" t="str">
        <f t="shared" si="366"/>
        <v>1+5681,98518475889i</v>
      </c>
      <c r="AH454">
        <f t="shared" si="384"/>
        <v>5681.985272756302</v>
      </c>
      <c r="AI454">
        <f t="shared" si="385"/>
        <v>1.5706203319696448</v>
      </c>
      <c r="AJ454" t="str">
        <f t="shared" si="367"/>
        <v>1+71,9697298828175i</v>
      </c>
      <c r="AK454">
        <f t="shared" si="386"/>
        <v>71.97667691277303</v>
      </c>
      <c r="AL454">
        <f t="shared" si="387"/>
        <v>1.5569024903921476</v>
      </c>
      <c r="AM454" t="str">
        <f t="shared" si="368"/>
        <v>1-1,80962215700181i</v>
      </c>
      <c r="AN454">
        <f t="shared" si="388"/>
        <v>2.067542587496539</v>
      </c>
      <c r="AO454">
        <f t="shared" si="389"/>
        <v>-1.0659579627920674</v>
      </c>
      <c r="AP454" s="41" t="str">
        <f t="shared" si="390"/>
        <v>2,11545352120982-3,95538798702388i</v>
      </c>
      <c r="AQ454">
        <f t="shared" si="391"/>
        <v>13.036331077693472</v>
      </c>
      <c r="AR454" s="43">
        <f t="shared" si="392"/>
        <v>-61.860866832768394</v>
      </c>
      <c r="AS454" t="str">
        <f t="shared" si="369"/>
        <v>-0,0000166666666666667</v>
      </c>
      <c r="AT454" t="str">
        <f t="shared" si="370"/>
        <v>0,00477015369663314i</v>
      </c>
      <c r="AU454">
        <f t="shared" si="393"/>
        <v>4.7701536966331401E-3</v>
      </c>
      <c r="AV454">
        <f t="shared" si="394"/>
        <v>1.5707963267948966</v>
      </c>
      <c r="AW454" t="str">
        <f t="shared" si="371"/>
        <v>1+1,60531153679477i</v>
      </c>
      <c r="AX454">
        <f t="shared" si="395"/>
        <v>1.8913024956802618</v>
      </c>
      <c r="AY454">
        <f t="shared" si="396"/>
        <v>1.013685461827156</v>
      </c>
      <c r="AZ454" t="str">
        <f t="shared" si="372"/>
        <v>1+380,000173781276i</v>
      </c>
      <c r="BA454">
        <f t="shared" si="397"/>
        <v>380.0014895678699</v>
      </c>
      <c r="BB454">
        <f t="shared" si="398"/>
        <v>1.5681647551257092</v>
      </c>
      <c r="BC454" s="41" t="str">
        <f t="shared" si="399"/>
        <v>-0,369606514206951+0,596827548848465i</v>
      </c>
      <c r="BD454">
        <f t="shared" si="400"/>
        <v>-3.0731863889632276</v>
      </c>
      <c r="BE454" s="43">
        <f t="shared" si="401"/>
        <v>121.76932333340361</v>
      </c>
      <c r="BF454" s="41" t="str">
        <f t="shared" si="402"/>
        <v>2,50278846223981-0,175022225941764i</v>
      </c>
      <c r="BG454" s="20">
        <f t="shared" si="403"/>
        <v>7.9896695527485218</v>
      </c>
      <c r="BH454" s="43">
        <f t="shared" si="404"/>
        <v>-4.0002325479158181</v>
      </c>
      <c r="BI454" s="41" t="str">
        <f t="shared" si="409"/>
        <v>1,57879911509894+2,72449810598646i</v>
      </c>
      <c r="BJ454" s="20">
        <f t="shared" si="405"/>
        <v>9.9631446887302477</v>
      </c>
      <c r="BK454" s="43">
        <f t="shared" si="410"/>
        <v>59.908456500635324</v>
      </c>
      <c r="BL454">
        <f t="shared" si="406"/>
        <v>7.9896695527485218</v>
      </c>
      <c r="BM454" s="43">
        <f t="shared" si="407"/>
        <v>-4.0002325479158181</v>
      </c>
    </row>
    <row r="455" spans="14:65" x14ac:dyDescent="0.25">
      <c r="N455" s="9">
        <v>37</v>
      </c>
      <c r="O455" s="34">
        <f t="shared" si="408"/>
        <v>234422.88153199267</v>
      </c>
      <c r="P455" s="33" t="str">
        <f t="shared" si="360"/>
        <v>54,631621870174</v>
      </c>
      <c r="Q455" s="4" t="str">
        <f t="shared" si="361"/>
        <v>1+5870,51656772076i</v>
      </c>
      <c r="R455" s="4">
        <f t="shared" si="373"/>
        <v>5870.51665289214</v>
      </c>
      <c r="S455" s="4">
        <f t="shared" si="374"/>
        <v>1.5706259840356536</v>
      </c>
      <c r="T455" s="4" t="str">
        <f t="shared" si="362"/>
        <v>1+73,646120245426i</v>
      </c>
      <c r="U455" s="4">
        <f t="shared" si="375"/>
        <v>73.652909156419241</v>
      </c>
      <c r="V455" s="4">
        <f t="shared" si="376"/>
        <v>1.5572187134001387</v>
      </c>
      <c r="W455" t="str">
        <f t="shared" si="363"/>
        <v>1-5,86125733854092i</v>
      </c>
      <c r="X455" s="4">
        <f t="shared" si="377"/>
        <v>5.9459513611027619</v>
      </c>
      <c r="Y455" s="4">
        <f t="shared" si="378"/>
        <v>-1.4018115586360818</v>
      </c>
      <c r="Z455" t="str">
        <f t="shared" si="364"/>
        <v>0,780183650456948+0,80528935221634i</v>
      </c>
      <c r="AA455" s="4">
        <f t="shared" si="379"/>
        <v>1.1212392560169047</v>
      </c>
      <c r="AB455" s="4">
        <f t="shared" si="380"/>
        <v>0.80123167407954898</v>
      </c>
      <c r="AC455" s="47" t="str">
        <f t="shared" si="381"/>
        <v>-2,18713679009325-2,90313910595954i</v>
      </c>
      <c r="AD455" s="20">
        <f t="shared" si="382"/>
        <v>11.209614650134782</v>
      </c>
      <c r="AE455" s="43">
        <f t="shared" si="383"/>
        <v>-126.9932593416676</v>
      </c>
      <c r="AF455" t="str">
        <f t="shared" si="365"/>
        <v>171,265703090588</v>
      </c>
      <c r="AG455" t="str">
        <f t="shared" si="366"/>
        <v>1+5814,33562180684i</v>
      </c>
      <c r="AH455">
        <f t="shared" si="384"/>
        <v>5814.3357078011877</v>
      </c>
      <c r="AI455">
        <f t="shared" si="385"/>
        <v>1.5706243381008849</v>
      </c>
      <c r="AJ455" t="str">
        <f t="shared" si="367"/>
        <v>1+73,646120245426i</v>
      </c>
      <c r="AK455">
        <f t="shared" si="386"/>
        <v>73.652909156419241</v>
      </c>
      <c r="AL455">
        <f t="shared" si="387"/>
        <v>1.5572187134001387</v>
      </c>
      <c r="AM455" t="str">
        <f t="shared" si="368"/>
        <v>1-1,85177367193593i</v>
      </c>
      <c r="AN455">
        <f t="shared" si="388"/>
        <v>2.1045345642386293</v>
      </c>
      <c r="AO455">
        <f t="shared" si="389"/>
        <v>-1.0756454123442576</v>
      </c>
      <c r="AP455" s="41" t="str">
        <f t="shared" si="390"/>
        <v>2,11545328540293-4,04614974845486i</v>
      </c>
      <c r="AQ455">
        <f t="shared" si="391"/>
        <v>13.190325331676117</v>
      </c>
      <c r="AR455" s="43">
        <f t="shared" si="392"/>
        <v>-62.398028097024159</v>
      </c>
      <c r="AS455" t="str">
        <f t="shared" si="369"/>
        <v>-0,0000166666666666667</v>
      </c>
      <c r="AT455" t="str">
        <f t="shared" si="370"/>
        <v>0,00488126484986683i</v>
      </c>
      <c r="AU455">
        <f t="shared" si="393"/>
        <v>4.8812648498668303E-3</v>
      </c>
      <c r="AV455">
        <f t="shared" si="394"/>
        <v>1.5707963267948966</v>
      </c>
      <c r="AW455" t="str">
        <f t="shared" si="371"/>
        <v>1+1,64270404602954i</v>
      </c>
      <c r="AX455">
        <f t="shared" si="395"/>
        <v>1.92314237196361</v>
      </c>
      <c r="AY455">
        <f t="shared" si="396"/>
        <v>1.0239660941557327</v>
      </c>
      <c r="AZ455" t="str">
        <f t="shared" si="372"/>
        <v>1+388,851514895849i</v>
      </c>
      <c r="BA455">
        <f t="shared" si="397"/>
        <v>388.85280073158356</v>
      </c>
      <c r="BB455">
        <f t="shared" si="398"/>
        <v>1.5682246567429714</v>
      </c>
      <c r="BC455" s="41" t="str">
        <f t="shared" si="399"/>
        <v>-0,357469287685904+0,590630660775144i</v>
      </c>
      <c r="BD455">
        <f t="shared" si="400"/>
        <v>-3.2181965627157574</v>
      </c>
      <c r="BE455" s="43">
        <f t="shared" si="401"/>
        <v>121.18371860010556</v>
      </c>
      <c r="BF455" s="41" t="str">
        <f t="shared" si="402"/>
        <v>2,49651719890131-0,254006979277955i</v>
      </c>
      <c r="BG455" s="20">
        <f t="shared" si="403"/>
        <v>7.9914180874190137</v>
      </c>
      <c r="BH455" s="43">
        <f t="shared" si="404"/>
        <v>-5.8095407415620359</v>
      </c>
      <c r="BI455" s="41" t="str">
        <f t="shared" si="409"/>
        <v>1,63357052045929+2,69582584024714i</v>
      </c>
      <c r="BJ455" s="20">
        <f t="shared" si="405"/>
        <v>9.972128768960367</v>
      </c>
      <c r="BK455" s="43">
        <f t="shared" si="410"/>
        <v>58.785690503081348</v>
      </c>
      <c r="BL455">
        <f t="shared" si="406"/>
        <v>7.9914180874190137</v>
      </c>
      <c r="BM455" s="43">
        <f t="shared" si="407"/>
        <v>-5.8095407415620359</v>
      </c>
    </row>
    <row r="456" spans="14:65" x14ac:dyDescent="0.25">
      <c r="N456" s="9">
        <v>38</v>
      </c>
      <c r="O456" s="34">
        <f t="shared" si="408"/>
        <v>239883.29190194907</v>
      </c>
      <c r="P456" s="33" t="str">
        <f t="shared" si="360"/>
        <v>54,631621870174</v>
      </c>
      <c r="Q456" s="4" t="str">
        <f t="shared" si="361"/>
        <v>1+6007,25846481671i</v>
      </c>
      <c r="R456" s="4">
        <f t="shared" si="373"/>
        <v>6007.2585480493535</v>
      </c>
      <c r="S456" s="4">
        <f t="shared" si="374"/>
        <v>1.5706298615101715</v>
      </c>
      <c r="T456" s="4" t="str">
        <f t="shared" si="362"/>
        <v>1+75,36155875581i</v>
      </c>
      <c r="U456" s="4">
        <f t="shared" si="375"/>
        <v>75.368193146083868</v>
      </c>
      <c r="V456" s="4">
        <f t="shared" si="376"/>
        <v>1.557527740917745</v>
      </c>
      <c r="W456" t="str">
        <f t="shared" si="363"/>
        <v>1-5,99778356048305i</v>
      </c>
      <c r="X456" s="4">
        <f t="shared" si="377"/>
        <v>6.0805762587439629</v>
      </c>
      <c r="Y456" s="4">
        <f t="shared" si="378"/>
        <v>-1.4055877240711012</v>
      </c>
      <c r="Z456" t="str">
        <f t="shared" si="364"/>
        <v>0,769824025065136+0,824046950881287i</v>
      </c>
      <c r="AA456" s="4">
        <f t="shared" si="379"/>
        <v>1.127688967235307</v>
      </c>
      <c r="AB456" s="4">
        <f t="shared" si="380"/>
        <v>0.81940469409811079</v>
      </c>
      <c r="AC456" s="47" t="str">
        <f t="shared" si="381"/>
        <v>-2,28721982744392-2,90305709617568i</v>
      </c>
      <c r="AD456" s="20">
        <f t="shared" si="382"/>
        <v>11.35422562850761</v>
      </c>
      <c r="AE456" s="43">
        <f t="shared" si="383"/>
        <v>-128.23337122232056</v>
      </c>
      <c r="AF456" t="str">
        <f t="shared" si="365"/>
        <v>171,265703090588</v>
      </c>
      <c r="AG456" t="str">
        <f t="shared" si="366"/>
        <v>1+5949,76889656329i</v>
      </c>
      <c r="AH456">
        <f t="shared" si="384"/>
        <v>5949.7689806001663</v>
      </c>
      <c r="AI456">
        <f t="shared" si="385"/>
        <v>1.5706282530414504</v>
      </c>
      <c r="AJ456" t="str">
        <f t="shared" si="367"/>
        <v>1+75,36155875581i</v>
      </c>
      <c r="AK456">
        <f t="shared" si="386"/>
        <v>75.368193146083868</v>
      </c>
      <c r="AL456">
        <f t="shared" si="387"/>
        <v>1.557527740917745</v>
      </c>
      <c r="AM456" t="str">
        <f t="shared" si="368"/>
        <v>1-1,89490702178204i</v>
      </c>
      <c r="AN456">
        <f t="shared" si="388"/>
        <v>2.1425854991572404</v>
      </c>
      <c r="AO456">
        <f t="shared" si="389"/>
        <v>-1.0852113068515876</v>
      </c>
      <c r="AP456" s="41" t="str">
        <f t="shared" si="390"/>
        <v>2,1154530602091-4,13905683203597i</v>
      </c>
      <c r="AQ456">
        <f t="shared" si="391"/>
        <v>13.345931274357618</v>
      </c>
      <c r="AR456" s="43">
        <f t="shared" si="392"/>
        <v>-62.928631816620722</v>
      </c>
      <c r="AS456" t="str">
        <f t="shared" si="369"/>
        <v>-0,0000166666666666667</v>
      </c>
      <c r="AT456" t="str">
        <f t="shared" si="370"/>
        <v>0,00499496411433508i</v>
      </c>
      <c r="AU456">
        <f t="shared" si="393"/>
        <v>4.9949641143350798E-3</v>
      </c>
      <c r="AV456">
        <f t="shared" si="394"/>
        <v>1.5707963267948966</v>
      </c>
      <c r="AW456" t="str">
        <f t="shared" si="371"/>
        <v>1+1,68096753869326i</v>
      </c>
      <c r="AX456">
        <f t="shared" si="395"/>
        <v>1.9559273672967707</v>
      </c>
      <c r="AY456">
        <f t="shared" si="396"/>
        <v>1.0341385998052608</v>
      </c>
      <c r="AZ456" t="str">
        <f t="shared" si="372"/>
        <v>1+397,909030230677i</v>
      </c>
      <c r="BA456">
        <f t="shared" si="397"/>
        <v>397.91028679731039</v>
      </c>
      <c r="BB456">
        <f t="shared" si="398"/>
        <v>1.5682831948507887</v>
      </c>
      <c r="BC456" s="41" t="str">
        <f t="shared" si="399"/>
        <v>-0,345586016671522+0,584255569826343i</v>
      </c>
      <c r="BD456">
        <f t="shared" si="400"/>
        <v>-3.3650235900407028</v>
      </c>
      <c r="BE456" s="43">
        <f t="shared" si="401"/>
        <v>120.60423094583314</v>
      </c>
      <c r="BF456" s="41" t="str">
        <f t="shared" si="402"/>
        <v>2,486558467383-0,333064985564009i</v>
      </c>
      <c r="BG456" s="20">
        <f t="shared" si="403"/>
        <v>7.989202038466904</v>
      </c>
      <c r="BH456" s="43">
        <f t="shared" si="404"/>
        <v>-7.6291402764874157</v>
      </c>
      <c r="BI456" s="41" t="str">
        <f t="shared" si="409"/>
        <v>1,68719601141155+2,66636539649371i</v>
      </c>
      <c r="BJ456" s="20">
        <f t="shared" si="405"/>
        <v>9.9809076843169215</v>
      </c>
      <c r="BK456" s="43">
        <f t="shared" si="410"/>
        <v>57.675599129212443</v>
      </c>
      <c r="BL456">
        <f t="shared" si="406"/>
        <v>7.989202038466904</v>
      </c>
      <c r="BM456" s="43">
        <f t="shared" si="407"/>
        <v>-7.6291402764874157</v>
      </c>
    </row>
    <row r="457" spans="14:65" x14ac:dyDescent="0.25">
      <c r="N457" s="9">
        <v>39</v>
      </c>
      <c r="O457" s="34">
        <f t="shared" si="408"/>
        <v>245470.89156850305</v>
      </c>
      <c r="P457" s="33" t="str">
        <f t="shared" si="360"/>
        <v>54,631621870174</v>
      </c>
      <c r="Q457" s="4" t="str">
        <f t="shared" si="361"/>
        <v>1+6147,18548986616i</v>
      </c>
      <c r="R457" s="4">
        <f t="shared" si="373"/>
        <v>6147.1855712041961</v>
      </c>
      <c r="S457" s="4">
        <f t="shared" si="374"/>
        <v>1.5706336507225986</v>
      </c>
      <c r="T457" s="4" t="str">
        <f t="shared" si="362"/>
        <v>1+77,1169549621745i</v>
      </c>
      <c r="U457" s="4">
        <f t="shared" si="375"/>
        <v>77.123438348131558</v>
      </c>
      <c r="V457" s="4">
        <f t="shared" si="376"/>
        <v>1.5578297365592195</v>
      </c>
      <c r="W457" t="str">
        <f t="shared" si="363"/>
        <v>1-6,137489886659i</v>
      </c>
      <c r="X457" s="4">
        <f t="shared" si="377"/>
        <v>6.2184227991381782</v>
      </c>
      <c r="Y457" s="4">
        <f t="shared" si="378"/>
        <v>-1.4092825337609793</v>
      </c>
      <c r="Z457" t="str">
        <f t="shared" si="364"/>
        <v>0,758976165570257+0,843241470147141i</v>
      </c>
      <c r="AA457" s="4">
        <f t="shared" si="379"/>
        <v>1.1345047363848428</v>
      </c>
      <c r="AB457" s="4">
        <f t="shared" si="380"/>
        <v>0.83794267317321636</v>
      </c>
      <c r="AC457" s="47" t="str">
        <f t="shared" si="381"/>
        <v>-2,3891743438007-2,8993176641657i</v>
      </c>
      <c r="AD457" s="20">
        <f t="shared" si="382"/>
        <v>11.496561736952861</v>
      </c>
      <c r="AE457" s="43">
        <f t="shared" si="383"/>
        <v>-129.49013021555177</v>
      </c>
      <c r="AF457" t="str">
        <f t="shared" si="365"/>
        <v>171,265703090588</v>
      </c>
      <c r="AG457" t="str">
        <f t="shared" si="366"/>
        <v>1+6088,3568175432i</v>
      </c>
      <c r="AH457">
        <f t="shared" si="384"/>
        <v>6088.3568996671638</v>
      </c>
      <c r="AI457">
        <f t="shared" si="385"/>
        <v>1.5706320788670936</v>
      </c>
      <c r="AJ457" t="str">
        <f t="shared" si="367"/>
        <v>1+77,1169549621745i</v>
      </c>
      <c r="AK457">
        <f t="shared" si="386"/>
        <v>77.123438348131558</v>
      </c>
      <c r="AL457">
        <f t="shared" si="387"/>
        <v>1.5578297365592195</v>
      </c>
      <c r="AM457" t="str">
        <f t="shared" si="368"/>
        <v>1-1,93904507641315i</v>
      </c>
      <c r="AN457">
        <f t="shared" si="388"/>
        <v>2.1817185447170031</v>
      </c>
      <c r="AO457">
        <f t="shared" si="389"/>
        <v>-1.0946537147403557</v>
      </c>
      <c r="AP457" s="41" t="str">
        <f t="shared" si="390"/>
        <v>2,11545284515065-4,23415849833288i</v>
      </c>
      <c r="AQ457">
        <f t="shared" si="391"/>
        <v>13.503108106257173</v>
      </c>
      <c r="AR457" s="43">
        <f t="shared" si="392"/>
        <v>-63.452558065062874</v>
      </c>
      <c r="AS457" t="str">
        <f t="shared" si="369"/>
        <v>-0,0000166666666666667</v>
      </c>
      <c r="AT457" t="str">
        <f t="shared" si="370"/>
        <v>0,00511131177489293i</v>
      </c>
      <c r="AU457">
        <f t="shared" si="393"/>
        <v>5.1113117748929297E-3</v>
      </c>
      <c r="AV457">
        <f t="shared" si="394"/>
        <v>1.5707963267948966</v>
      </c>
      <c r="AW457" t="str">
        <f t="shared" si="371"/>
        <v>1+1,72012230259624i</v>
      </c>
      <c r="AX457">
        <f t="shared" si="395"/>
        <v>1.9896785508943373</v>
      </c>
      <c r="AY457">
        <f t="shared" si="396"/>
        <v>1.0441999506968989</v>
      </c>
      <c r="AZ457" t="str">
        <f t="shared" si="372"/>
        <v>1+407,177522200281i</v>
      </c>
      <c r="BA457">
        <f t="shared" si="397"/>
        <v>407.17875016405304</v>
      </c>
      <c r="BB457">
        <f t="shared" si="398"/>
        <v>1.568340400485235</v>
      </c>
      <c r="BC457" s="41" t="str">
        <f t="shared" si="399"/>
        <v>-0,333961014603651+0,577714530964918i</v>
      </c>
      <c r="BD457">
        <f t="shared" si="400"/>
        <v>-3.5136287210030797</v>
      </c>
      <c r="BE457" s="43">
        <f t="shared" si="401"/>
        <v>120.03103564496031</v>
      </c>
      <c r="BF457" s="41" t="str">
        <f t="shared" si="402"/>
        <v>2,47286903239248-0,412001666639172i</v>
      </c>
      <c r="BG457" s="20">
        <f t="shared" si="403"/>
        <v>7.9829330159497704</v>
      </c>
      <c r="BH457" s="43">
        <f t="shared" si="404"/>
        <v>-9.4590945705914891</v>
      </c>
      <c r="BI457" s="41" t="str">
        <f t="shared" si="409"/>
        <v>1,73965611238281+2,63617171631053i</v>
      </c>
      <c r="BJ457" s="20">
        <f t="shared" si="405"/>
        <v>9.9894793852540964</v>
      </c>
      <c r="BK457" s="43">
        <f t="shared" si="410"/>
        <v>56.578477579897445</v>
      </c>
      <c r="BL457">
        <f t="shared" si="406"/>
        <v>7.9829330159497704</v>
      </c>
      <c r="BM457" s="43">
        <f t="shared" si="407"/>
        <v>-9.4590945705914891</v>
      </c>
    </row>
    <row r="458" spans="14:65" x14ac:dyDescent="0.25">
      <c r="N458" s="9">
        <v>40</v>
      </c>
      <c r="O458" s="34">
        <f t="shared" si="408"/>
        <v>251188.64315095844</v>
      </c>
      <c r="P458" s="33" t="str">
        <f t="shared" si="360"/>
        <v>54,631621870174</v>
      </c>
      <c r="Q458" s="4" t="str">
        <f t="shared" si="361"/>
        <v>1+6290,37183403i</v>
      </c>
      <c r="R458" s="4">
        <f t="shared" si="373"/>
        <v>6290.3719135165566</v>
      </c>
      <c r="S458" s="4">
        <f t="shared" si="374"/>
        <v>1.5706373536820251</v>
      </c>
      <c r="T458" s="4" t="str">
        <f t="shared" si="362"/>
        <v>1+78,913239598824i</v>
      </c>
      <c r="U458" s="4">
        <f t="shared" si="375"/>
        <v>78.919575416885039</v>
      </c>
      <c r="V458" s="4">
        <f t="shared" si="376"/>
        <v>1.5581248602261828</v>
      </c>
      <c r="W458" t="str">
        <f t="shared" si="363"/>
        <v>1-6,28045039121218i</v>
      </c>
      <c r="X458" s="4">
        <f t="shared" si="377"/>
        <v>6.3595642237874461</v>
      </c>
      <c r="Y458" s="4">
        <f t="shared" si="378"/>
        <v>-1.412897543017402</v>
      </c>
      <c r="Z458" t="str">
        <f t="shared" si="364"/>
        <v>0,747617062207921+0,862883087202094i</v>
      </c>
      <c r="AA458" s="4">
        <f t="shared" si="379"/>
        <v>1.1417085853596001</v>
      </c>
      <c r="AB458" s="4">
        <f t="shared" si="380"/>
        <v>0.85684789993021082</v>
      </c>
      <c r="AC458" s="47" t="str">
        <f t="shared" si="381"/>
        <v>-2,49286566434643-2,8917096468414i</v>
      </c>
      <c r="AD458" s="20">
        <f t="shared" si="382"/>
        <v>11.636492020209952</v>
      </c>
      <c r="AE458" s="43">
        <f t="shared" si="383"/>
        <v>-130.76374751615461</v>
      </c>
      <c r="AF458" t="str">
        <f t="shared" si="365"/>
        <v>171,265703090588</v>
      </c>
      <c r="AG458" t="str">
        <f t="shared" si="366"/>
        <v>1+6230,17286589673i</v>
      </c>
      <c r="AH458">
        <f t="shared" si="384"/>
        <v>6230.172946151325</v>
      </c>
      <c r="AI458">
        <f t="shared" si="385"/>
        <v>1.5706358176063175</v>
      </c>
      <c r="AJ458" t="str">
        <f t="shared" si="367"/>
        <v>1+78,913239598824i</v>
      </c>
      <c r="AK458">
        <f t="shared" si="386"/>
        <v>78.919575416885039</v>
      </c>
      <c r="AL458">
        <f t="shared" si="387"/>
        <v>1.5581248602261828</v>
      </c>
      <c r="AM458" t="str">
        <f t="shared" si="368"/>
        <v>1-1,98421123841008i</v>
      </c>
      <c r="AN458">
        <f t="shared" si="388"/>
        <v>2.2219572990120366</v>
      </c>
      <c r="AO458">
        <f t="shared" si="389"/>
        <v>-1.1039709066244432</v>
      </c>
      <c r="AP458" s="41" t="str">
        <f t="shared" si="390"/>
        <v>2,11545263977144-4,33150517150816i</v>
      </c>
      <c r="AQ458">
        <f t="shared" si="391"/>
        <v>13.661814956406694</v>
      </c>
      <c r="AR458" s="43">
        <f t="shared" si="392"/>
        <v>-63.969698710361307</v>
      </c>
      <c r="AS458" t="str">
        <f t="shared" si="369"/>
        <v>-0,0000166666666666667</v>
      </c>
      <c r="AT458" t="str">
        <f t="shared" si="370"/>
        <v>0,00523036952061005i</v>
      </c>
      <c r="AU458">
        <f t="shared" si="393"/>
        <v>5.2303695206100502E-3</v>
      </c>
      <c r="AV458">
        <f t="shared" si="394"/>
        <v>1.5707963267948966</v>
      </c>
      <c r="AW458" t="str">
        <f t="shared" si="371"/>
        <v>1+1,76018909811257i</v>
      </c>
      <c r="AX458">
        <f t="shared" si="395"/>
        <v>2.0244173633700986</v>
      </c>
      <c r="AY458">
        <f t="shared" si="396"/>
        <v>1.0541473327892759</v>
      </c>
      <c r="AZ458" t="str">
        <f t="shared" si="372"/>
        <v>1+416,661905081791i</v>
      </c>
      <c r="BA458">
        <f t="shared" si="397"/>
        <v>416.66310509377644</v>
      </c>
      <c r="BB458">
        <f t="shared" si="398"/>
        <v>1.5683963039759963</v>
      </c>
      <c r="BC458" s="41" t="str">
        <f t="shared" si="399"/>
        <v>-0,322597874055822+0,571019778995493i</v>
      </c>
      <c r="BD458">
        <f t="shared" si="400"/>
        <v>-3.6639726077633732</v>
      </c>
      <c r="BE458" s="43">
        <f t="shared" si="401"/>
        <v>119.46429566794374</v>
      </c>
      <c r="BF458" s="41" t="str">
        <f t="shared" si="402"/>
        <v>2,45541656708342-0,490616216262804i</v>
      </c>
      <c r="BG458" s="20">
        <f t="shared" si="403"/>
        <v>7.972519412446565</v>
      </c>
      <c r="BH458" s="43">
        <f t="shared" si="404"/>
        <v>-11.299451848210868</v>
      </c>
      <c r="BI458" s="41" t="str">
        <f t="shared" si="409"/>
        <v>1,79093460149638+2,60529965862805i</v>
      </c>
      <c r="BJ458" s="20">
        <f t="shared" si="405"/>
        <v>9.9978423486433172</v>
      </c>
      <c r="BK458" s="43">
        <f t="shared" si="410"/>
        <v>55.494596957582452</v>
      </c>
      <c r="BL458">
        <f t="shared" si="406"/>
        <v>7.972519412446565</v>
      </c>
      <c r="BM458" s="43">
        <f t="shared" si="407"/>
        <v>-11.299451848210868</v>
      </c>
    </row>
    <row r="459" spans="14:65" x14ac:dyDescent="0.25">
      <c r="N459" s="9">
        <v>41</v>
      </c>
      <c r="O459" s="34">
        <f t="shared" si="408"/>
        <v>257039.57827688678</v>
      </c>
      <c r="P459" s="33" t="str">
        <f t="shared" si="360"/>
        <v>54,631621870174</v>
      </c>
      <c r="Q459" s="4" t="str">
        <f t="shared" si="361"/>
        <v>1+6436,89341660312i</v>
      </c>
      <c r="R459" s="4">
        <f t="shared" si="373"/>
        <v>6436.8934942803426</v>
      </c>
      <c r="S459" s="4">
        <f t="shared" si="374"/>
        <v>1.5706409723518084</v>
      </c>
      <c r="T459" s="4" t="str">
        <f t="shared" si="362"/>
        <v>1+80,7513650796485i</v>
      </c>
      <c r="U459" s="4">
        <f t="shared" si="375"/>
        <v>80.757556688068973</v>
      </c>
      <c r="V459" s="4">
        <f t="shared" si="376"/>
        <v>1.5584132681913541</v>
      </c>
      <c r="W459" t="str">
        <f t="shared" si="363"/>
        <v>1-6,42674087369433i</v>
      </c>
      <c r="X459" s="4">
        <f t="shared" si="377"/>
        <v>6.504075511370802</v>
      </c>
      <c r="Y459" s="4">
        <f t="shared" si="378"/>
        <v>-1.4164342904377465</v>
      </c>
      <c r="Z459" t="str">
        <f t="shared" si="364"/>
        <v>0,735722620796961+0,882982216291483i</v>
      </c>
      <c r="AA459" s="4">
        <f t="shared" si="379"/>
        <v>1.1493238747365202</v>
      </c>
      <c r="AB459" s="4">
        <f t="shared" si="380"/>
        <v>0.87612214643337816</v>
      </c>
      <c r="AC459" s="47" t="str">
        <f t="shared" si="381"/>
        <v>-2,5981399137624-2,88002254304698i</v>
      </c>
      <c r="AD459" s="20">
        <f t="shared" si="382"/>
        <v>11.773881755896971</v>
      </c>
      <c r="AE459" s="43">
        <f t="shared" si="383"/>
        <v>-132.05440396979418</v>
      </c>
      <c r="AF459" t="str">
        <f t="shared" si="365"/>
        <v>171,265703090588</v>
      </c>
      <c r="AG459" t="str">
        <f t="shared" si="366"/>
        <v>1+6375,29223436981i</v>
      </c>
      <c r="AH459">
        <f t="shared" si="384"/>
        <v>6375.2923127975873</v>
      </c>
      <c r="AI459">
        <f t="shared" si="385"/>
        <v>1.5706394712414511</v>
      </c>
      <c r="AJ459" t="str">
        <f t="shared" si="367"/>
        <v>1+80,7513650796485i</v>
      </c>
      <c r="AK459">
        <f t="shared" si="386"/>
        <v>80.757556688068973</v>
      </c>
      <c r="AL459">
        <f t="shared" si="387"/>
        <v>1.5584132681913541</v>
      </c>
      <c r="AM459" t="str">
        <f t="shared" si="368"/>
        <v>1-2,03042945546975i</v>
      </c>
      <c r="AN459">
        <f t="shared" si="388"/>
        <v>2.2633258213609428</v>
      </c>
      <c r="AO459">
        <f t="shared" si="389"/>
        <v>-1.1131613510864966</v>
      </c>
      <c r="AP459" s="41" t="str">
        <f t="shared" si="390"/>
        <v>2,1154524436358-4,43114846605665i</v>
      </c>
      <c r="AQ459">
        <f t="shared" si="391"/>
        <v>13.822010970258557</v>
      </c>
      <c r="AR459" s="43">
        <f t="shared" si="392"/>
        <v>-64.479957168577215</v>
      </c>
      <c r="AS459" t="str">
        <f t="shared" si="369"/>
        <v>-0,0000166666666666667</v>
      </c>
      <c r="AT459" t="str">
        <f t="shared" si="370"/>
        <v>0,00535220047747911i</v>
      </c>
      <c r="AU459">
        <f t="shared" si="393"/>
        <v>5.3522004774791097E-3</v>
      </c>
      <c r="AV459">
        <f t="shared" si="394"/>
        <v>1.5707963267948966</v>
      </c>
      <c r="AW459" t="str">
        <f t="shared" si="371"/>
        <v>1+1,80118916918757i</v>
      </c>
      <c r="AX459">
        <f t="shared" si="395"/>
        <v>2.0601656300401214</v>
      </c>
      <c r="AY459">
        <f t="shared" si="396"/>
        <v>1.0639781453091559</v>
      </c>
      <c r="AZ459" t="str">
        <f t="shared" si="372"/>
        <v>1+426,367207620544i</v>
      </c>
      <c r="BA459">
        <f t="shared" si="397"/>
        <v>426.36838031699779</v>
      </c>
      <c r="BB459">
        <f t="shared" si="398"/>
        <v>1.5684509349624451</v>
      </c>
      <c r="BC459" s="41" t="str">
        <f t="shared" si="399"/>
        <v>-0,311499485134426+0,564183482834436i</v>
      </c>
      <c r="BD459">
        <f t="shared" si="400"/>
        <v>-3.8160154122807057</v>
      </c>
      <c r="BE459" s="43">
        <f t="shared" si="401"/>
        <v>118.90416172632442</v>
      </c>
      <c r="BF459" s="41" t="str">
        <f t="shared" si="402"/>
        <v>2,43418039442212-0,568702086102958i</v>
      </c>
      <c r="BG459" s="20">
        <f t="shared" si="403"/>
        <v>7.9578663436162511</v>
      </c>
      <c r="BH459" s="43">
        <f t="shared" si="404"/>
        <v>-13.150242243469808</v>
      </c>
      <c r="BI459" s="41" t="str">
        <f t="shared" si="409"/>
        <v>1,84101842751739+2,57380379315191i</v>
      </c>
      <c r="BJ459" s="20">
        <f t="shared" si="405"/>
        <v>10.00599555797784</v>
      </c>
      <c r="BK459" s="43">
        <f t="shared" si="410"/>
        <v>54.424204557747252</v>
      </c>
      <c r="BL459">
        <f t="shared" si="406"/>
        <v>7.9578663436162511</v>
      </c>
      <c r="BM459" s="43">
        <f t="shared" si="407"/>
        <v>-13.150242243469808</v>
      </c>
    </row>
    <row r="460" spans="14:65" x14ac:dyDescent="0.25">
      <c r="N460" s="9">
        <v>42</v>
      </c>
      <c r="O460" s="34">
        <f t="shared" si="408"/>
        <v>263026.79918953858</v>
      </c>
      <c r="P460" s="33" t="str">
        <f t="shared" si="360"/>
        <v>54,631621870174</v>
      </c>
      <c r="Q460" s="4" t="str">
        <f t="shared" si="361"/>
        <v>1+6586,82792526809i</v>
      </c>
      <c r="R460" s="4">
        <f t="shared" si="373"/>
        <v>6586.8280011771631</v>
      </c>
      <c r="S460" s="4">
        <f t="shared" si="374"/>
        <v>1.5706445086506149</v>
      </c>
      <c r="T460" s="4" t="str">
        <f t="shared" si="362"/>
        <v>1+82,632306003109i</v>
      </c>
      <c r="U460" s="4">
        <f t="shared" si="375"/>
        <v>82.638356683754552</v>
      </c>
      <c r="V460" s="4">
        <f t="shared" si="376"/>
        <v>1.5586951131804274</v>
      </c>
      <c r="W460" t="str">
        <f t="shared" si="363"/>
        <v>1-6,57643889925569i</v>
      </c>
      <c r="X460" s="4">
        <f t="shared" si="377"/>
        <v>6.6520334181093377</v>
      </c>
      <c r="Y460" s="4">
        <f t="shared" si="378"/>
        <v>-1.4198942971535682</v>
      </c>
      <c r="Z460" t="str">
        <f t="shared" si="364"/>
        <v>0,723267611632425+0,903549514239603i</v>
      </c>
      <c r="AA460" s="4">
        <f t="shared" si="379"/>
        <v>1.1573753767551369</v>
      </c>
      <c r="AB460" s="4">
        <f t="shared" si="380"/>
        <v>0.89576661737464425</v>
      </c>
      <c r="AC460" s="47" t="str">
        <f t="shared" si="381"/>
        <v>-2,70482314405311-2,86404813164662i</v>
      </c>
      <c r="AD460" s="20">
        <f t="shared" si="382"/>
        <v>11.908592539031751</v>
      </c>
      <c r="AE460" s="43">
        <f t="shared" si="383"/>
        <v>-133.3622471140454</v>
      </c>
      <c r="AF460" t="str">
        <f t="shared" si="365"/>
        <v>171,265703090588</v>
      </c>
      <c r="AG460" t="str">
        <f t="shared" si="366"/>
        <v>1+6523,79186717253i</v>
      </c>
      <c r="AH460">
        <f t="shared" si="384"/>
        <v>6523.7919438150739</v>
      </c>
      <c r="AI460">
        <f t="shared" si="385"/>
        <v>1.5706430417096995</v>
      </c>
      <c r="AJ460" t="str">
        <f t="shared" si="367"/>
        <v>1+82,632306003109i</v>
      </c>
      <c r="AK460">
        <f t="shared" si="386"/>
        <v>82.638356683754552</v>
      </c>
      <c r="AL460">
        <f t="shared" si="387"/>
        <v>1.5586951131804274</v>
      </c>
      <c r="AM460" t="str">
        <f t="shared" si="368"/>
        <v>1-2,07772423310262i</v>
      </c>
      <c r="AN460">
        <f t="shared" si="388"/>
        <v>2.3058486482902283</v>
      </c>
      <c r="AO460">
        <f t="shared" si="389"/>
        <v>-1.1222237099645289</v>
      </c>
      <c r="AP460" s="41" t="str">
        <f t="shared" si="390"/>
        <v>2,11545225632772-4,53314121417226i</v>
      </c>
      <c r="AQ460">
        <f t="shared" si="391"/>
        <v>13.983655392981362</v>
      </c>
      <c r="AR460" s="43">
        <f t="shared" si="392"/>
        <v>-64.983248129132164</v>
      </c>
      <c r="AS460" t="str">
        <f t="shared" si="369"/>
        <v>-0,0000166666666666667</v>
      </c>
      <c r="AT460" t="str">
        <f t="shared" si="370"/>
        <v>0,00547686924188608i</v>
      </c>
      <c r="AU460">
        <f t="shared" si="393"/>
        <v>5.4768692418860803E-3</v>
      </c>
      <c r="AV460">
        <f t="shared" si="394"/>
        <v>1.5707963267948966</v>
      </c>
      <c r="AW460" t="str">
        <f t="shared" si="371"/>
        <v>1+1,84314425460163i</v>
      </c>
      <c r="AX460">
        <f t="shared" si="395"/>
        <v>2.0969455747040735</v>
      </c>
      <c r="AY460">
        <f t="shared" si="396"/>
        <v>1.073689999209914</v>
      </c>
      <c r="AZ460" t="str">
        <f t="shared" si="372"/>
        <v>1+436,298575696415i</v>
      </c>
      <c r="BA460">
        <f t="shared" si="397"/>
        <v>436.29972169910945</v>
      </c>
      <c r="BB460">
        <f t="shared" si="398"/>
        <v>1.5685043224093482</v>
      </c>
      <c r="BC460" s="41" t="str">
        <f t="shared" si="399"/>
        <v>-0,300668056825877+0,557217702553853i</v>
      </c>
      <c r="BD460">
        <f t="shared" si="400"/>
        <v>-3.9697169110040784</v>
      </c>
      <c r="BE460" s="43">
        <f t="shared" si="401"/>
        <v>118.35077236194978</v>
      </c>
      <c r="BF460" s="41" t="str">
        <f t="shared" si="402"/>
        <v>2,40915223869989-0,64604755174579i</v>
      </c>
      <c r="BG460" s="20">
        <f t="shared" si="403"/>
        <v>7.9388756280276613</v>
      </c>
      <c r="BH460" s="43">
        <f t="shared" si="404"/>
        <v>-15.011474752095623</v>
      </c>
      <c r="BI460" s="41" t="str">
        <f t="shared" si="409"/>
        <v>1,88989761349528+2,54173820631577i</v>
      </c>
      <c r="BJ460" s="20">
        <f t="shared" si="405"/>
        <v>10.013938481977295</v>
      </c>
      <c r="BK460" s="43">
        <f t="shared" si="410"/>
        <v>53.367524232817651</v>
      </c>
      <c r="BL460">
        <f t="shared" si="406"/>
        <v>7.9388756280276613</v>
      </c>
      <c r="BM460" s="43">
        <f t="shared" si="407"/>
        <v>-15.011474752095623</v>
      </c>
    </row>
    <row r="461" spans="14:65" x14ac:dyDescent="0.25">
      <c r="N461" s="9">
        <v>43</v>
      </c>
      <c r="O461" s="34">
        <f t="shared" si="408"/>
        <v>269153.48039269145</v>
      </c>
      <c r="P461" s="33" t="str">
        <f t="shared" si="360"/>
        <v>54,631621870174</v>
      </c>
      <c r="Q461" s="4" t="str">
        <f t="shared" si="361"/>
        <v>1+6740,25485728602i</v>
      </c>
      <c r="R461" s="4">
        <f t="shared" si="373"/>
        <v>6740.2549314671905</v>
      </c>
      <c r="S461" s="4">
        <f t="shared" si="374"/>
        <v>1.5706479644534368</v>
      </c>
      <c r="T461" s="4" t="str">
        <f t="shared" si="362"/>
        <v>1+84,5570596689805i</v>
      </c>
      <c r="U461" s="4">
        <f t="shared" si="375"/>
        <v>84.562972629062244</v>
      </c>
      <c r="V461" s="4">
        <f t="shared" si="376"/>
        <v>1.5589705444521338</v>
      </c>
      <c r="W461" t="str">
        <f t="shared" si="363"/>
        <v>1-6,72962383977092i</v>
      </c>
      <c r="X461" s="4">
        <f t="shared" si="377"/>
        <v>6.8035165190372755</v>
      </c>
      <c r="Y461" s="4">
        <f t="shared" si="378"/>
        <v>-1.4232790661598862</v>
      </c>
      <c r="Z461" t="str">
        <f t="shared" si="364"/>
        <v>0,710225615970003+0,924595886100067i</v>
      </c>
      <c r="AA461" s="4">
        <f t="shared" si="379"/>
        <v>1.1658893507418009</v>
      </c>
      <c r="AB461" s="4">
        <f t="shared" si="380"/>
        <v>0.91578189758039263</v>
      </c>
      <c r="AC461" s="47" t="str">
        <f t="shared" si="381"/>
        <v>-2,81272057295438-2,84358226962347i</v>
      </c>
      <c r="AD461" s="20">
        <f t="shared" si="382"/>
        <v>12.040482406640239</v>
      </c>
      <c r="AE461" s="43">
        <f t="shared" si="383"/>
        <v>-134.68738812779713</v>
      </c>
      <c r="AF461" t="str">
        <f t="shared" si="365"/>
        <v>171,265703090588</v>
      </c>
      <c r="AG461" t="str">
        <f t="shared" si="366"/>
        <v>1+6675,75050077584i</v>
      </c>
      <c r="AH461">
        <f t="shared" si="384"/>
        <v>6675.7505756737855</v>
      </c>
      <c r="AI461">
        <f t="shared" si="385"/>
        <v>1.5706465309041717</v>
      </c>
      <c r="AJ461" t="str">
        <f t="shared" si="367"/>
        <v>1+84,5570596689805i</v>
      </c>
      <c r="AK461">
        <f t="shared" si="386"/>
        <v>84.562972629062244</v>
      </c>
      <c r="AL461">
        <f t="shared" si="387"/>
        <v>1.5589705444521338</v>
      </c>
      <c r="AM461" t="str">
        <f t="shared" si="368"/>
        <v>1-2,12612064762582i</v>
      </c>
      <c r="AN461">
        <f t="shared" si="388"/>
        <v>2.3495508098912938</v>
      </c>
      <c r="AO461">
        <f t="shared" si="389"/>
        <v>-1.1311568331990725</v>
      </c>
      <c r="AP461" s="41" t="str">
        <f t="shared" si="390"/>
        <v>2,1154520774499-4,63753749376027i</v>
      </c>
      <c r="AQ461">
        <f t="shared" si="391"/>
        <v>14.146707647989782</v>
      </c>
      <c r="AR461" s="43">
        <f t="shared" si="392"/>
        <v>-65.479497255044208</v>
      </c>
      <c r="AS461" t="str">
        <f t="shared" si="369"/>
        <v>-0,0000166666666666667</v>
      </c>
      <c r="AT461" t="str">
        <f t="shared" si="370"/>
        <v>0,00560444191486002i</v>
      </c>
      <c r="AU461">
        <f t="shared" si="393"/>
        <v>5.6044419148600201E-3</v>
      </c>
      <c r="AV461">
        <f t="shared" si="394"/>
        <v>1.5707963267948966</v>
      </c>
      <c r="AW461" t="str">
        <f t="shared" si="371"/>
        <v>1+1,88607659949639i</v>
      </c>
      <c r="AX461">
        <f t="shared" si="395"/>
        <v>2.1347798338863577</v>
      </c>
      <c r="AY461">
        <f t="shared" si="396"/>
        <v>1.0832807149075898</v>
      </c>
      <c r="AZ461" t="str">
        <f t="shared" si="372"/>
        <v>1+446,461275052217i</v>
      </c>
      <c r="BA461">
        <f t="shared" si="397"/>
        <v>446.46239496877155</v>
      </c>
      <c r="BB461">
        <f t="shared" si="398"/>
        <v>1.5685564946222188</v>
      </c>
      <c r="BC461" s="41" t="str">
        <f t="shared" si="399"/>
        <v>-0,290105140942289+0,550134349360519i</v>
      </c>
      <c r="BD461">
        <f t="shared" si="400"/>
        <v>-4.1250365961337252</v>
      </c>
      <c r="BE461" s="43">
        <f t="shared" si="401"/>
        <v>117.80425407756852</v>
      </c>
      <c r="BF461" s="41" t="str">
        <f t="shared" si="402"/>
        <v>2,38033698000062-0,722436367225093i</v>
      </c>
      <c r="BG461" s="20">
        <f t="shared" si="403"/>
        <v>7.9154458105065082</v>
      </c>
      <c r="BH461" s="43">
        <f t="shared" si="404"/>
        <v>-16.883134050228612</v>
      </c>
      <c r="BI461" s="41" t="str">
        <f t="shared" si="409"/>
        <v>1,93756514867956+2,50915632048373i</v>
      </c>
      <c r="BJ461" s="20">
        <f t="shared" si="405"/>
        <v>10.02167105185606</v>
      </c>
      <c r="BK461" s="43">
        <f t="shared" si="410"/>
        <v>52.324756822524257</v>
      </c>
      <c r="BL461">
        <f t="shared" si="406"/>
        <v>7.9154458105065082</v>
      </c>
      <c r="BM461" s="43">
        <f t="shared" si="407"/>
        <v>-16.883134050228612</v>
      </c>
    </row>
    <row r="462" spans="14:65" x14ac:dyDescent="0.25">
      <c r="N462" s="9">
        <v>44</v>
      </c>
      <c r="O462" s="34">
        <f t="shared" si="408"/>
        <v>275422.87033381703</v>
      </c>
      <c r="P462" s="33" t="str">
        <f t="shared" si="360"/>
        <v>54,631621870174</v>
      </c>
      <c r="Q462" s="4" t="str">
        <f t="shared" si="361"/>
        <v>1+6897,25556164712i</v>
      </c>
      <c r="R462" s="4">
        <f t="shared" si="373"/>
        <v>6897.2556341397212</v>
      </c>
      <c r="S462" s="4">
        <f t="shared" si="374"/>
        <v>1.570651341592586</v>
      </c>
      <c r="T462" s="4" t="str">
        <f t="shared" si="362"/>
        <v>1+86,5266466071335i</v>
      </c>
      <c r="U462" s="4">
        <f t="shared" si="375"/>
        <v>86.53242498090394</v>
      </c>
      <c r="V462" s="4">
        <f t="shared" si="376"/>
        <v>1.5592397078765241</v>
      </c>
      <c r="W462" t="str">
        <f t="shared" si="363"/>
        <v>1-6,88637691592309i</v>
      </c>
      <c r="X462" s="4">
        <f t="shared" si="377"/>
        <v>6.9586052502034059</v>
      </c>
      <c r="Y462" s="4">
        <f t="shared" si="378"/>
        <v>-1.4265900817203763</v>
      </c>
      <c r="Z462" t="str">
        <f t="shared" si="364"/>
        <v>0,696568969988324+0,946132490937814i</v>
      </c>
      <c r="AA462" s="4">
        <f t="shared" si="379"/>
        <v>1.1748936208690501</v>
      </c>
      <c r="AB462" s="4">
        <f t="shared" si="380"/>
        <v>0.9361678981855186</v>
      </c>
      <c r="AC462" s="47" t="str">
        <f t="shared" si="381"/>
        <v>-2,9216159614205-2,81842686917061i</v>
      </c>
      <c r="AD462" s="20">
        <f t="shared" si="382"/>
        <v>12.169406006263813</v>
      </c>
      <c r="AE462" s="43">
        <f t="shared" si="383"/>
        <v>-136.02989870874345</v>
      </c>
      <c r="AF462" t="str">
        <f t="shared" si="365"/>
        <v>171,265703090588</v>
      </c>
      <c r="AG462" t="str">
        <f t="shared" si="366"/>
        <v>1+6831,24870565866i</v>
      </c>
      <c r="AH462">
        <f t="shared" si="384"/>
        <v>6831.2487788517201</v>
      </c>
      <c r="AI462">
        <f t="shared" si="385"/>
        <v>1.5706499406748848</v>
      </c>
      <c r="AJ462" t="str">
        <f t="shared" si="367"/>
        <v>1+86,5266466071335i</v>
      </c>
      <c r="AK462">
        <f t="shared" si="386"/>
        <v>86.53242498090394</v>
      </c>
      <c r="AL462">
        <f t="shared" si="387"/>
        <v>1.5592397078765241</v>
      </c>
      <c r="AM462" t="str">
        <f t="shared" si="368"/>
        <v>1-2,17564435945892i</v>
      </c>
      <c r="AN462">
        <f t="shared" si="388"/>
        <v>2.3944578465375863</v>
      </c>
      <c r="AO462">
        <f t="shared" si="389"/>
        <v>-1.1399597532953019</v>
      </c>
      <c r="AP462" s="41" t="str">
        <f t="shared" si="390"/>
        <v>2,11545190662291-4,74439265711011i</v>
      </c>
      <c r="AQ462">
        <f t="shared" si="391"/>
        <v>14.311127410601983</v>
      </c>
      <c r="AR462" s="43">
        <f t="shared" si="392"/>
        <v>-65.968640861203113</v>
      </c>
      <c r="AS462" t="str">
        <f t="shared" si="369"/>
        <v>-0,0000166666666666667</v>
      </c>
      <c r="AT462" t="str">
        <f t="shared" si="370"/>
        <v>0,0057349861371208i</v>
      </c>
      <c r="AU462">
        <f t="shared" si="393"/>
        <v>5.7349861371208E-3</v>
      </c>
      <c r="AV462">
        <f t="shared" si="394"/>
        <v>1.5707963267948966</v>
      </c>
      <c r="AW462" t="str">
        <f t="shared" si="371"/>
        <v>1+1,93000896716937i</v>
      </c>
      <c r="AX462">
        <f t="shared" si="395"/>
        <v>2.1736914715189406</v>
      </c>
      <c r="AY462">
        <f t="shared" si="396"/>
        <v>1.0927483193467233</v>
      </c>
      <c r="AZ462" t="str">
        <f t="shared" si="372"/>
        <v>1+456,860694085665i</v>
      </c>
      <c r="BA462">
        <f t="shared" si="397"/>
        <v>456.86178850986818</v>
      </c>
      <c r="BB462">
        <f t="shared" si="398"/>
        <v>1.5686074792623179</v>
      </c>
      <c r="BC462" s="41" t="str">
        <f t="shared" si="399"/>
        <v>-0,279811658314764+0,542945148629256i</v>
      </c>
      <c r="BD462">
        <f t="shared" si="400"/>
        <v>-4.2819337730851208</v>
      </c>
      <c r="BE462" s="43">
        <f t="shared" si="401"/>
        <v>117.26472150580447</v>
      </c>
      <c r="BF462" s="41" t="str">
        <f t="shared" si="402"/>
        <v>2,34775340250648-0,797648516309543i</v>
      </c>
      <c r="BG462" s="20">
        <f t="shared" si="403"/>
        <v>7.8874722331786939</v>
      </c>
      <c r="BH462" s="43">
        <f t="shared" si="404"/>
        <v>-18.765177202938968</v>
      </c>
      <c r="BI462" s="41" t="str">
        <f t="shared" si="409"/>
        <v>1,98401687029291+2,47611072694179i</v>
      </c>
      <c r="BJ462" s="20">
        <f t="shared" si="405"/>
        <v>10.02919363751686</v>
      </c>
      <c r="BK462" s="43">
        <f t="shared" si="410"/>
        <v>51.296080644601439</v>
      </c>
      <c r="BL462">
        <f t="shared" si="406"/>
        <v>7.8874722331786939</v>
      </c>
      <c r="BM462" s="43">
        <f t="shared" si="407"/>
        <v>-18.765177202938968</v>
      </c>
    </row>
    <row r="463" spans="14:65" x14ac:dyDescent="0.25">
      <c r="N463" s="9">
        <v>45</v>
      </c>
      <c r="O463" s="34">
        <f t="shared" si="408"/>
        <v>281838.29312644573</v>
      </c>
      <c r="P463" s="33" t="str">
        <f t="shared" si="360"/>
        <v>54,631621870174</v>
      </c>
      <c r="Q463" s="4" t="str">
        <f t="shared" si="361"/>
        <v>1+7057,91328220295i</v>
      </c>
      <c r="R463" s="4">
        <f t="shared" si="373"/>
        <v>7057.9133530454183</v>
      </c>
      <c r="S463" s="4">
        <f t="shared" si="374"/>
        <v>1.5706546418586662</v>
      </c>
      <c r="T463" s="4" t="str">
        <f t="shared" si="362"/>
        <v>1+88,542111118633i</v>
      </c>
      <c r="U463" s="4">
        <f t="shared" si="375"/>
        <v>88.547757969043772</v>
      </c>
      <c r="V463" s="4">
        <f t="shared" si="376"/>
        <v>1.5595027460115141</v>
      </c>
      <c r="W463" t="str">
        <f t="shared" si="363"/>
        <v>1-7,04678124026805i</v>
      </c>
      <c r="X463" s="4">
        <f t="shared" si="377"/>
        <v>7.1173819518270696</v>
      </c>
      <c r="Y463" s="4">
        <f t="shared" si="378"/>
        <v>-1.4298288088437712</v>
      </c>
      <c r="Z463" t="str">
        <f t="shared" si="364"/>
        <v>0,682268706110285+0,9681707477458i</v>
      </c>
      <c r="AA463" s="4">
        <f t="shared" si="379"/>
        <v>1.1844176561196915</v>
      </c>
      <c r="AB463" s="4">
        <f t="shared" si="380"/>
        <v>0.95692380189891058</v>
      </c>
      <c r="AC463" s="47" t="str">
        <f t="shared" si="381"/>
        <v>-3,03127116068287-2,78839204879056i</v>
      </c>
      <c r="AD463" s="20">
        <f t="shared" si="382"/>
        <v>12.295214812076123</v>
      </c>
      <c r="AE463" s="43">
        <f t="shared" si="383"/>
        <v>-137.38980790299752</v>
      </c>
      <c r="AF463" t="str">
        <f t="shared" si="365"/>
        <v>171,265703090588</v>
      </c>
      <c r="AG463" t="str">
        <f t="shared" si="366"/>
        <v>1+6990,36892902748i</v>
      </c>
      <c r="AH463">
        <f t="shared" si="384"/>
        <v>6990.3690005544631</v>
      </c>
      <c r="AI463">
        <f t="shared" si="385"/>
        <v>1.5706532728297438</v>
      </c>
      <c r="AJ463" t="str">
        <f t="shared" si="367"/>
        <v>1+88,542111118633i</v>
      </c>
      <c r="AK463">
        <f t="shared" si="386"/>
        <v>88.547757969043772</v>
      </c>
      <c r="AL463">
        <f t="shared" si="387"/>
        <v>1.5595027460115141</v>
      </c>
      <c r="AM463" t="str">
        <f t="shared" si="368"/>
        <v>1-2,22632162672946i</v>
      </c>
      <c r="AN463">
        <f t="shared" si="388"/>
        <v>2.4405958259497433</v>
      </c>
      <c r="AO463">
        <f t="shared" si="389"/>
        <v>-1.148631679453296</v>
      </c>
      <c r="AP463" s="41" t="str">
        <f t="shared" si="390"/>
        <v>2,11545174348438-4,85376336024395i</v>
      </c>
      <c r="AQ463">
        <f t="shared" si="391"/>
        <v>14.476874676760916</v>
      </c>
      <c r="AR463" s="43">
        <f t="shared" si="392"/>
        <v>-66.450625573729596</v>
      </c>
      <c r="AS463" t="str">
        <f t="shared" si="369"/>
        <v>-0,0000166666666666667</v>
      </c>
      <c r="AT463" t="str">
        <f t="shared" si="370"/>
        <v>0,00586857112494299i</v>
      </c>
      <c r="AU463">
        <f t="shared" si="393"/>
        <v>5.8685711249429904E-3</v>
      </c>
      <c r="AV463">
        <f t="shared" si="394"/>
        <v>1.5707963267948966</v>
      </c>
      <c r="AW463" t="str">
        <f t="shared" si="371"/>
        <v>1+1,97496465114344i</v>
      </c>
      <c r="AX463">
        <f t="shared" si="395"/>
        <v>2.213703994048466</v>
      </c>
      <c r="AY463">
        <f t="shared" si="396"/>
        <v>1.1020910424499419</v>
      </c>
      <c r="AZ463" t="str">
        <f t="shared" si="372"/>
        <v>1+467,502346706382i</v>
      </c>
      <c r="BA463">
        <f t="shared" si="397"/>
        <v>467.50341621850663</v>
      </c>
      <c r="BB463">
        <f t="shared" si="398"/>
        <v>1.5686573033613156</v>
      </c>
      <c r="BC463" s="41" t="str">
        <f t="shared" si="399"/>
        <v>-0,269787926886577+0,535661606070398i</v>
      </c>
      <c r="BD463">
        <f t="shared" si="400"/>
        <v>-4.4403676538424088</v>
      </c>
      <c r="BE463" s="43">
        <f t="shared" si="401"/>
        <v>116.7322776134213</v>
      </c>
      <c r="BF463" s="41" t="str">
        <f t="shared" si="402"/>
        <v>2,31143492548078-0,871461068176046i</v>
      </c>
      <c r="BG463" s="20">
        <f t="shared" si="403"/>
        <v>7.8548471582337172</v>
      </c>
      <c r="BH463" s="43">
        <f t="shared" si="404"/>
        <v>-20.657530289576219</v>
      </c>
      <c r="BI463" s="41" t="str">
        <f t="shared" si="409"/>
        <v>2,02925133673068+2,44265303303751i</v>
      </c>
      <c r="BJ463" s="20">
        <f t="shared" si="405"/>
        <v>10.036507022918508</v>
      </c>
      <c r="BK463" s="43">
        <f t="shared" si="410"/>
        <v>50.281652039691728</v>
      </c>
      <c r="BL463">
        <f t="shared" si="406"/>
        <v>7.8548471582337172</v>
      </c>
      <c r="BM463" s="43">
        <f t="shared" si="407"/>
        <v>-20.657530289576219</v>
      </c>
    </row>
    <row r="464" spans="14:65" x14ac:dyDescent="0.25">
      <c r="N464" s="9">
        <v>46</v>
      </c>
      <c r="O464" s="34">
        <f t="shared" si="408"/>
        <v>288403.1503126609</v>
      </c>
      <c r="P464" s="33" t="str">
        <f t="shared" si="360"/>
        <v>54,631621870174</v>
      </c>
      <c r="Q464" s="4" t="str">
        <f t="shared" si="361"/>
        <v>1+7222,31320180354i</v>
      </c>
      <c r="R464" s="4">
        <f t="shared" si="373"/>
        <v>7222.3132710334366</v>
      </c>
      <c r="S464" s="4">
        <f t="shared" si="374"/>
        <v>1.5706578670015219</v>
      </c>
      <c r="T464" s="4" t="str">
        <f t="shared" si="362"/>
        <v>1+90,604521829441i</v>
      </c>
      <c r="U464" s="4">
        <f t="shared" si="375"/>
        <v>90.610040149762938</v>
      </c>
      <c r="V464" s="4">
        <f t="shared" si="376"/>
        <v>1.5597597981777263</v>
      </c>
      <c r="W464" t="str">
        <f t="shared" si="363"/>
        <v>1-7,21092186130178i</v>
      </c>
      <c r="X464" s="4">
        <f t="shared" si="377"/>
        <v>7.2799309124331621</v>
      </c>
      <c r="Y464" s="4">
        <f t="shared" si="378"/>
        <v>-1.4329966928269655</v>
      </c>
      <c r="Z464" t="str">
        <f t="shared" si="364"/>
        <v>0,667294491558929+0,990722341499495i</v>
      </c>
      <c r="AA464" s="4">
        <f t="shared" si="379"/>
        <v>1.1944926523052086</v>
      </c>
      <c r="AB464" s="4">
        <f t="shared" si="380"/>
        <v>0.97804800786390289</v>
      </c>
      <c r="AC464" s="47" t="str">
        <f t="shared" si="381"/>
        <v>-3,1414258609155-2,75329844881575i</v>
      </c>
      <c r="AD464" s="20">
        <f t="shared" si="382"/>
        <v>12.417757392122109</v>
      </c>
      <c r="AE464" s="43">
        <f t="shared" si="383"/>
        <v>-138.7670989154162</v>
      </c>
      <c r="AF464" t="str">
        <f t="shared" si="365"/>
        <v>171,265703090588</v>
      </c>
      <c r="AG464" t="str">
        <f t="shared" si="366"/>
        <v>1+7153,19553853094i</v>
      </c>
      <c r="AH464">
        <f t="shared" si="384"/>
        <v>7153.1956084297699</v>
      </c>
      <c r="AI464">
        <f t="shared" si="385"/>
        <v>1.570656529135501</v>
      </c>
      <c r="AJ464" t="str">
        <f t="shared" si="367"/>
        <v>1+90,604521829441i</v>
      </c>
      <c r="AK464">
        <f t="shared" si="386"/>
        <v>90.610040149762938</v>
      </c>
      <c r="AL464">
        <f t="shared" si="387"/>
        <v>1.5597597981777263</v>
      </c>
      <c r="AM464" t="str">
        <f t="shared" si="368"/>
        <v>1-2,27817931919535i</v>
      </c>
      <c r="AN464">
        <f t="shared" si="388"/>
        <v>2.4879913605978188</v>
      </c>
      <c r="AO464">
        <f t="shared" si="389"/>
        <v>-1.1571719914179541</v>
      </c>
      <c r="AP464" s="41" t="str">
        <f t="shared" si="390"/>
        <v>2,11545158768832-4,96570759295647i</v>
      </c>
      <c r="AQ464">
        <f t="shared" si="391"/>
        <v>14.643909826795372</v>
      </c>
      <c r="AR464" s="43">
        <f t="shared" si="392"/>
        <v>-66.925407973367527</v>
      </c>
      <c r="AS464" t="str">
        <f t="shared" si="369"/>
        <v>-0,0000166666666666667</v>
      </c>
      <c r="AT464" t="str">
        <f t="shared" si="370"/>
        <v>0,00600526770685534i</v>
      </c>
      <c r="AU464">
        <f t="shared" si="393"/>
        <v>6.0052677068553398E-3</v>
      </c>
      <c r="AV464">
        <f t="shared" si="394"/>
        <v>1.5707963267948966</v>
      </c>
      <c r="AW464" t="str">
        <f t="shared" si="371"/>
        <v>1+2,02096748751728i</v>
      </c>
      <c r="AX464">
        <f t="shared" si="395"/>
        <v>2.2548413659505866</v>
      </c>
      <c r="AY464">
        <f t="shared" si="396"/>
        <v>1.1113073130062432</v>
      </c>
      <c r="AZ464" t="str">
        <f t="shared" si="372"/>
        <v>1+478,391875259448i</v>
      </c>
      <c r="BA464">
        <f t="shared" si="397"/>
        <v>478.39292042655819</v>
      </c>
      <c r="BB464">
        <f t="shared" si="398"/>
        <v>1.5687059933356187</v>
      </c>
      <c r="BC464" s="41" t="str">
        <f t="shared" si="399"/>
        <v>-0,260033691365972+0,528294977073566i</v>
      </c>
      <c r="BD464">
        <f t="shared" si="400"/>
        <v>-4.6002974459395514</v>
      </c>
      <c r="BE464" s="43">
        <f t="shared" si="401"/>
        <v>116.20701393772661</v>
      </c>
      <c r="BF464" s="41" t="str">
        <f t="shared" si="402"/>
        <v>2,27143030366019-0,943649144092897i</v>
      </c>
      <c r="BG464" s="20">
        <f t="shared" si="403"/>
        <v>7.8174599461825691</v>
      </c>
      <c r="BH464" s="43">
        <f t="shared" si="404"/>
        <v>-22.560084977689517</v>
      </c>
      <c r="BI464" s="41" t="str">
        <f t="shared" si="409"/>
        <v>2,07326969372237+2,40883372365855i</v>
      </c>
      <c r="BJ464" s="20">
        <f t="shared" si="405"/>
        <v>10.043612380855825</v>
      </c>
      <c r="BK464" s="43">
        <f t="shared" si="410"/>
        <v>49.281605964359166</v>
      </c>
      <c r="BL464">
        <f t="shared" si="406"/>
        <v>7.8174599461825691</v>
      </c>
      <c r="BM464" s="43">
        <f t="shared" si="407"/>
        <v>-22.560084977689517</v>
      </c>
    </row>
    <row r="465" spans="14:65" x14ac:dyDescent="0.25">
      <c r="N465" s="9">
        <v>47</v>
      </c>
      <c r="O465" s="34">
        <f t="shared" si="408"/>
        <v>295120.92266663886</v>
      </c>
      <c r="P465" s="33" t="str">
        <f t="shared" si="360"/>
        <v>54,631621870174</v>
      </c>
      <c r="Q465" s="4" t="str">
        <f t="shared" si="361"/>
        <v>1+7390,54248746233i</v>
      </c>
      <c r="R465" s="4">
        <f t="shared" si="373"/>
        <v>7390.5425551163626</v>
      </c>
      <c r="S465" s="4">
        <f t="shared" si="374"/>
        <v>1.570661018731166</v>
      </c>
      <c r="T465" s="4" t="str">
        <f t="shared" si="362"/>
        <v>1+92,7149722570155i</v>
      </c>
      <c r="U465" s="4">
        <f t="shared" si="375"/>
        <v>92.720364972422075</v>
      </c>
      <c r="V465" s="4">
        <f t="shared" si="376"/>
        <v>1.5600110005316643</v>
      </c>
      <c r="W465" t="str">
        <f t="shared" si="363"/>
        <v>1-7,3788858085542i</v>
      </c>
      <c r="X465" s="4">
        <f t="shared" si="377"/>
        <v>7.4463384139913069</v>
      </c>
      <c r="Y465" s="4">
        <f t="shared" si="378"/>
        <v>-1.4360951588605206</v>
      </c>
      <c r="Z465" t="str">
        <f t="shared" si="364"/>
        <v>0,651614564017566+1,01379922935241i</v>
      </c>
      <c r="AA465" s="4">
        <f t="shared" si="379"/>
        <v>1.2051516159700997</v>
      </c>
      <c r="AB465" s="4">
        <f t="shared" si="380"/>
        <v>0.99953807669923078</v>
      </c>
      <c r="AC465" s="47" t="str">
        <f t="shared" si="381"/>
        <v>-3,25179757447822-2,71297969654041i</v>
      </c>
      <c r="AD465" s="20">
        <f t="shared" si="382"/>
        <v>12.536879729883363</v>
      </c>
      <c r="AE465" s="43">
        <f t="shared" si="383"/>
        <v>-140.16170593393582</v>
      </c>
      <c r="AF465" t="str">
        <f t="shared" si="365"/>
        <v>171,265703090588</v>
      </c>
      <c r="AG465" t="str">
        <f t="shared" si="366"/>
        <v>1+7319,81486699266i</v>
      </c>
      <c r="AH465">
        <f t="shared" si="384"/>
        <v>7319.8149353003982</v>
      </c>
      <c r="AI465">
        <f t="shared" si="385"/>
        <v>1.5706597113186926</v>
      </c>
      <c r="AJ465" t="str">
        <f t="shared" si="367"/>
        <v>1+92,7149722570155i</v>
      </c>
      <c r="AK465">
        <f t="shared" si="386"/>
        <v>92.720364972422075</v>
      </c>
      <c r="AL465">
        <f t="shared" si="387"/>
        <v>1.5600110005316643</v>
      </c>
      <c r="AM465" t="str">
        <f t="shared" si="368"/>
        <v>1-2,33124493249154i</v>
      </c>
      <c r="AN465">
        <f t="shared" si="388"/>
        <v>2.5366716254311443</v>
      </c>
      <c r="AO465">
        <f t="shared" si="389"/>
        <v>-1.1655802330981149</v>
      </c>
      <c r="AP465" s="41" t="str">
        <f t="shared" si="390"/>
        <v>2,11545143890422-5,0802847095617i</v>
      </c>
      <c r="AQ465">
        <f t="shared" si="391"/>
        <v>14.812193684233559</v>
      </c>
      <c r="AR465" s="43">
        <f t="shared" si="392"/>
        <v>-67.392954225748881</v>
      </c>
      <c r="AS465" t="str">
        <f t="shared" si="369"/>
        <v>-0,0000166666666666667</v>
      </c>
      <c r="AT465" t="str">
        <f t="shared" si="370"/>
        <v>0,00614514836119498i</v>
      </c>
      <c r="AU465">
        <f t="shared" si="393"/>
        <v>6.1451483611949798E-3</v>
      </c>
      <c r="AV465">
        <f t="shared" si="394"/>
        <v>1.5707963267948966</v>
      </c>
      <c r="AW465" t="str">
        <f t="shared" si="371"/>
        <v>1+2,06804186760368i</v>
      </c>
      <c r="AX465">
        <f t="shared" si="395"/>
        <v>2.2971280256358626</v>
      </c>
      <c r="AY465">
        <f t="shared" si="396"/>
        <v>1.1203957540534581</v>
      </c>
      <c r="AZ465" t="str">
        <f t="shared" si="372"/>
        <v>1+489,535053517042i</v>
      </c>
      <c r="BA465">
        <f t="shared" si="397"/>
        <v>489.53607489329443</v>
      </c>
      <c r="BB465">
        <f t="shared" si="398"/>
        <v>1.568753575000372</v>
      </c>
      <c r="BC465" s="41" t="str">
        <f t="shared" si="399"/>
        <v>-0,250548154109386+0,520856239235178i</v>
      </c>
      <c r="BD465">
        <f t="shared" si="400"/>
        <v>-4.7616824368586954</v>
      </c>
      <c r="BE465" s="43">
        <f t="shared" si="401"/>
        <v>115.68901085194035</v>
      </c>
      <c r="BF465" s="41" t="str">
        <f t="shared" si="402"/>
        <v>2,22780428168433-1,01398700029236i</v>
      </c>
      <c r="BG465" s="20">
        <f t="shared" si="403"/>
        <v>7.7751972930246751</v>
      </c>
      <c r="BH465" s="43">
        <f t="shared" si="404"/>
        <v>-24.472695081995514</v>
      </c>
      <c r="BI465" s="41" t="str">
        <f t="shared" si="409"/>
        <v>2,11607553494079+2,37470203708312i</v>
      </c>
      <c r="BJ465" s="20">
        <f t="shared" si="405"/>
        <v>10.050511247374867</v>
      </c>
      <c r="BK465" s="43">
        <f t="shared" si="410"/>
        <v>48.296056626191472</v>
      </c>
      <c r="BL465">
        <f t="shared" si="406"/>
        <v>7.7751972930246751</v>
      </c>
      <c r="BM465" s="43">
        <f t="shared" si="407"/>
        <v>-24.472695081995514</v>
      </c>
    </row>
    <row r="466" spans="14:65" x14ac:dyDescent="0.25">
      <c r="N466" s="9">
        <v>48</v>
      </c>
      <c r="O466" s="34">
        <f t="shared" si="408"/>
        <v>301995.17204020242</v>
      </c>
      <c r="P466" s="33" t="str">
        <f t="shared" si="360"/>
        <v>54,631621870174</v>
      </c>
      <c r="Q466" s="4" t="str">
        <f t="shared" si="361"/>
        <v>1+7562,69033657338i</v>
      </c>
      <c r="R466" s="4">
        <f t="shared" si="373"/>
        <v>7562.6904026874181</v>
      </c>
      <c r="S466" s="4">
        <f t="shared" si="374"/>
        <v>1.5706640987186873</v>
      </c>
      <c r="T466" s="4" t="str">
        <f t="shared" si="362"/>
        <v>1+94,8745813901085i</v>
      </c>
      <c r="U466" s="4">
        <f t="shared" si="375"/>
        <v>94.87985135922338</v>
      </c>
      <c r="V466" s="4">
        <f t="shared" si="376"/>
        <v>1.5602564861372563</v>
      </c>
      <c r="W466" t="str">
        <f t="shared" si="363"/>
        <v>1-7,55076213873342i</v>
      </c>
      <c r="X466" s="4">
        <f t="shared" si="377"/>
        <v>7.6166927780848628</v>
      </c>
      <c r="Y466" s="4">
        <f t="shared" si="378"/>
        <v>-1.4391256116924771</v>
      </c>
      <c r="Z466" t="str">
        <f t="shared" si="364"/>
        <v>0,635195664257634+1,03741364697595i</v>
      </c>
      <c r="AA466" s="4">
        <f t="shared" si="379"/>
        <v>1.2164294499984938</v>
      </c>
      <c r="AB466" s="4">
        <f t="shared" si="380"/>
        <v>1.02139067638892</v>
      </c>
      <c r="AC466" s="47" t="str">
        <f t="shared" si="381"/>
        <v>-3,36208188687211-2,66728500037006i</v>
      </c>
      <c r="AD466" s="20">
        <f t="shared" si="382"/>
        <v>12.652425602943232</v>
      </c>
      <c r="AE466" s="43">
        <f t="shared" si="383"/>
        <v>-141.57351100598279</v>
      </c>
      <c r="AF466" t="str">
        <f t="shared" si="365"/>
        <v>171,265703090588</v>
      </c>
      <c r="AG466" t="str">
        <f t="shared" si="366"/>
        <v>1+7490,31525818607i</v>
      </c>
      <c r="AH466">
        <f t="shared" si="384"/>
        <v>7490.3153249389352</v>
      </c>
      <c r="AI466">
        <f t="shared" si="385"/>
        <v>1.5706628210665541</v>
      </c>
      <c r="AJ466" t="str">
        <f t="shared" si="367"/>
        <v>1+94,8745813901085i</v>
      </c>
      <c r="AK466">
        <f t="shared" si="386"/>
        <v>94.87985135922338</v>
      </c>
      <c r="AL466">
        <f t="shared" si="387"/>
        <v>1.5602564861372563</v>
      </c>
      <c r="AM466" t="str">
        <f t="shared" si="368"/>
        <v>1-2,38554660270861i</v>
      </c>
      <c r="AN466">
        <f t="shared" si="388"/>
        <v>2.5866643759279229</v>
      </c>
      <c r="AO466">
        <f t="shared" si="389"/>
        <v>-1.1738561060021879</v>
      </c>
      <c r="AP466" s="41" t="str">
        <f t="shared" si="390"/>
        <v>2,11545129681652-5,19755546036362i</v>
      </c>
      <c r="AQ466">
        <f t="shared" si="391"/>
        <v>14.981687569716467</v>
      </c>
      <c r="AR466" s="43">
        <f t="shared" si="392"/>
        <v>-67.853239701235026</v>
      </c>
      <c r="AS466" t="str">
        <f t="shared" si="369"/>
        <v>-0,0000166666666666667</v>
      </c>
      <c r="AT466" t="str">
        <f t="shared" si="370"/>
        <v>0,0062882872545364i</v>
      </c>
      <c r="AU466">
        <f t="shared" si="393"/>
        <v>6.2882872545363998E-3</v>
      </c>
      <c r="AV466">
        <f t="shared" si="394"/>
        <v>1.5707963267948966</v>
      </c>
      <c r="AW466" t="str">
        <f t="shared" si="371"/>
        <v>1+2,11621275086205i</v>
      </c>
      <c r="AX466">
        <f t="shared" si="395"/>
        <v>2.3405889017320245</v>
      </c>
      <c r="AY466">
        <f t="shared" si="396"/>
        <v>1.1293551778101025</v>
      </c>
      <c r="AZ466" t="str">
        <f t="shared" si="372"/>
        <v>1+500,937789739773i</v>
      </c>
      <c r="BA466">
        <f t="shared" si="397"/>
        <v>500.93878786671036</v>
      </c>
      <c r="BB466">
        <f t="shared" si="398"/>
        <v>1.5688000735831418</v>
      </c>
      <c r="BC466" s="41" t="str">
        <f t="shared" si="399"/>
        <v>-0,241330006920252+0,513356068045401i</v>
      </c>
      <c r="BD466">
        <f t="shared" si="400"/>
        <v>-4.9244820736827508</v>
      </c>
      <c r="BE466" s="43">
        <f t="shared" si="401"/>
        <v>115.17833785636162</v>
      </c>
      <c r="BF466" s="41" t="str">
        <f t="shared" si="402"/>
        <v>2,18063818517175-1,08224923029374i</v>
      </c>
      <c r="BG466" s="20">
        <f t="shared" si="403"/>
        <v>7.7279435292604823</v>
      </c>
      <c r="BH466" s="43">
        <f t="shared" si="404"/>
        <v>-26.395173149621225</v>
      </c>
      <c r="BI466" s="41" t="str">
        <f t="shared" si="409"/>
        <v>2,15767475847999+2,34030585509322i</v>
      </c>
      <c r="BJ466" s="20">
        <f t="shared" si="405"/>
        <v>10.057205496033728</v>
      </c>
      <c r="BK466" s="43">
        <f t="shared" si="410"/>
        <v>47.325098155126554</v>
      </c>
      <c r="BL466">
        <f t="shared" si="406"/>
        <v>7.7279435292604823</v>
      </c>
      <c r="BM466" s="43">
        <f t="shared" si="407"/>
        <v>-26.395173149621225</v>
      </c>
    </row>
    <row r="467" spans="14:65" x14ac:dyDescent="0.25">
      <c r="N467" s="9">
        <v>49</v>
      </c>
      <c r="O467" s="34">
        <f t="shared" si="408"/>
        <v>309029.54325135931</v>
      </c>
      <c r="P467" s="33" t="str">
        <f t="shared" ref="P467:P530" si="411">COMPLEX(Adc,0)</f>
        <v>54,631621870174</v>
      </c>
      <c r="Q467" s="4" t="str">
        <f t="shared" ref="Q467:Q530" si="412">IMSUM(COMPLEX(1,0),IMDIV(COMPLEX(0,2*PI()*O467),COMPLEX(wp_lf,0)))</f>
        <v>1+7738,84802420491i</v>
      </c>
      <c r="R467" s="4">
        <f t="shared" si="373"/>
        <v>7738.8480888140084</v>
      </c>
      <c r="S467" s="4">
        <f t="shared" si="374"/>
        <v>1.5706671085971355</v>
      </c>
      <c r="T467" s="4" t="str">
        <f t="shared" ref="T467:T530" si="413">IMSUM(COMPLEX(1,0),IMDIV(COMPLEX(0,2*PI()*O467),COMPLEX(wz_esr,0)))</f>
        <v>1+97,084494282068i</v>
      </c>
      <c r="U467" s="4">
        <f t="shared" si="375"/>
        <v>97.089644298477538</v>
      </c>
      <c r="V467" s="4">
        <f t="shared" si="376"/>
        <v>1.5604963850358018</v>
      </c>
      <c r="W467" t="str">
        <f t="shared" ref="W467:W530" si="414">IMSUB(COMPLEX(1,0),IMDIV(COMPLEX(0,2*PI()*O467),COMPLEX(wz_rhp,0)))</f>
        <v>1-7,72664198294474i</v>
      </c>
      <c r="X467" s="4">
        <f t="shared" si="377"/>
        <v>7.7910844131355823</v>
      </c>
      <c r="Y467" s="4">
        <f t="shared" si="378"/>
        <v>-1.4420894353465523</v>
      </c>
      <c r="Z467" t="str">
        <f t="shared" ref="Z467:Z530" si="415">IMSUM(COMPLEX(1,0),IMDIV(COMPLEX(0,2*PI()*O467),COMPLEX(Q*(wsl/2),0)),IMDIV(IMPOWER(COMPLEX(0,2*PI()*O467),2),IMPOWER(COMPLEX(wsl/2,0),2)))</f>
        <v>0,618002965591424+1,06157811504691i</v>
      </c>
      <c r="AA467" s="4">
        <f t="shared" si="379"/>
        <v>1.2283630407279214</v>
      </c>
      <c r="AB467" s="4">
        <f t="shared" si="380"/>
        <v>1.0436015297709351</v>
      </c>
      <c r="AC467" s="47" t="str">
        <f t="shared" si="381"/>
        <v>-3,47195300776285-2,61608184614167i</v>
      </c>
      <c r="AD467" s="20">
        <f t="shared" si="382"/>
        <v>12.764237020957401</v>
      </c>
      <c r="AE467" s="43">
        <f t="shared" si="383"/>
        <v>-143.00234100969107</v>
      </c>
      <c r="AF467" t="str">
        <f t="shared" ref="AF467:AF530" si="416">COMPLEX($B$72,0)</f>
        <v>171,265703090588</v>
      </c>
      <c r="AG467" t="str">
        <f t="shared" ref="AG467:AG530" si="417">IMSUM(COMPLEX(1,0),IMDIV(COMPLEX(0,2*PI()*O467),COMPLEX(wp_lf_DCM,0)))</f>
        <v>1+7664,78711367541i</v>
      </c>
      <c r="AH467">
        <f t="shared" si="384"/>
        <v>7664.787178908794</v>
      </c>
      <c r="AI467">
        <f t="shared" si="385"/>
        <v>1.5706658600279146</v>
      </c>
      <c r="AJ467" t="str">
        <f t="shared" ref="AJ467:AJ530" si="418">IMSUM(COMPLEX(1,0),IMDIV(COMPLEX(0,2*PI()*O467),COMPLEX(wz1_dcm,0)))</f>
        <v>1+97,084494282068i</v>
      </c>
      <c r="AK467">
        <f t="shared" si="386"/>
        <v>97.089644298477538</v>
      </c>
      <c r="AL467">
        <f t="shared" si="387"/>
        <v>1.5604963850358018</v>
      </c>
      <c r="AM467" t="str">
        <f t="shared" ref="AM467:AM530" si="419">IMSUB(COMPLEX(1,0),IMDIV(COMPLEX(0,2*PI()*O467),COMPLEX(wz2_dcm,0)))</f>
        <v>1-2,44111312131088i</v>
      </c>
      <c r="AN467">
        <f t="shared" si="388"/>
        <v>2.6379979664579252</v>
      </c>
      <c r="AO467">
        <f t="shared" si="389"/>
        <v>-1.1819994625350658</v>
      </c>
      <c r="AP467" s="41" t="str">
        <f t="shared" si="390"/>
        <v>2,11545116112381-5,31758202386671i</v>
      </c>
      <c r="AQ467">
        <f t="shared" si="391"/>
        <v>15.152353350086315</v>
      </c>
      <c r="AR467" s="43">
        <f t="shared" si="392"/>
        <v>-68.306248586902811</v>
      </c>
      <c r="AS467" t="str">
        <f t="shared" ref="AS467:AS530" si="420">COMPLEX(Adc_ea,0)</f>
        <v>-0,0000166666666666667</v>
      </c>
      <c r="AT467" t="str">
        <f t="shared" ref="AT467:AT530" si="421">COMPLEX(0,2*PI()*O467*wp0_ea)</f>
        <v>0,00643476028101547i</v>
      </c>
      <c r="AU467">
        <f t="shared" si="393"/>
        <v>6.4347602810154699E-3</v>
      </c>
      <c r="AV467">
        <f t="shared" si="394"/>
        <v>1.5707963267948966</v>
      </c>
      <c r="AW467" t="str">
        <f t="shared" ref="AW467:AW530" si="422">IMSUM(COMPLEX(1,0),IMDIV(COMPLEX(0,2*PI()*O467),COMPLEX(wp1_ea,0)))</f>
        <v>1+2,16550567813231i</v>
      </c>
      <c r="AX467">
        <f t="shared" si="395"/>
        <v>2.3852494297291584</v>
      </c>
      <c r="AY467">
        <f t="shared" si="396"/>
        <v>1.1381845802112769</v>
      </c>
      <c r="AZ467" t="str">
        <f t="shared" ref="AZ467:AZ530" si="423">IMSUM(COMPLEX(1,0),IMDIV(COMPLEX(0,2*PI()*O467),COMPLEX(wz_ea,0)))</f>
        <v>1+512,606129809319i</v>
      </c>
      <c r="BA467">
        <f t="shared" si="397"/>
        <v>512.60710521615715</v>
      </c>
      <c r="BB467">
        <f t="shared" si="398"/>
        <v>1.5688455137372874</v>
      </c>
      <c r="BC467" s="41" t="str">
        <f t="shared" si="399"/>
        <v>-0,232377463465345+0,505804815681514i</v>
      </c>
      <c r="BD467">
        <f t="shared" si="400"/>
        <v>-5.088656037887862</v>
      </c>
      <c r="BE467" s="43">
        <f t="shared" si="401"/>
        <v>114.67505389220446</v>
      </c>
      <c r="BF467" s="41" t="str">
        <f t="shared" si="402"/>
        <v>2,13003042921025-1,14821208752223i</v>
      </c>
      <c r="BG467" s="20">
        <f t="shared" si="403"/>
        <v>7.6755809830695441</v>
      </c>
      <c r="BH467" s="43">
        <f t="shared" si="404"/>
        <v>-28.327287117486616</v>
      </c>
      <c r="BI467" s="41" t="str">
        <f t="shared" si="409"/>
        <v>2,19807542054646+2,30569160711054i</v>
      </c>
      <c r="BJ467" s="20">
        <f t="shared" si="405"/>
        <v>10.063697312198453</v>
      </c>
      <c r="BK467" s="43">
        <f t="shared" si="410"/>
        <v>46.36880530530177</v>
      </c>
      <c r="BL467">
        <f t="shared" si="406"/>
        <v>7.6755809830695441</v>
      </c>
      <c r="BM467" s="43">
        <f t="shared" si="407"/>
        <v>-28.327287117486616</v>
      </c>
    </row>
    <row r="468" spans="14:65" x14ac:dyDescent="0.25">
      <c r="N468" s="9">
        <v>50</v>
      </c>
      <c r="O468" s="34">
        <f t="shared" si="408"/>
        <v>316227.7660168382</v>
      </c>
      <c r="P468" s="33" t="str">
        <f t="shared" si="411"/>
        <v>54,631621870174</v>
      </c>
      <c r="Q468" s="4" t="str">
        <f t="shared" si="412"/>
        <v>1+7919,10895149463i</v>
      </c>
      <c r="R468" s="4">
        <f t="shared" ref="R468:R531" si="424">IMABS(Q468)</f>
        <v>7919.1090146330453</v>
      </c>
      <c r="S468" s="4">
        <f t="shared" ref="S468:S531" si="425">IMARGUMENT(Q468)</f>
        <v>1.570670049962388</v>
      </c>
      <c r="T468" s="4" t="str">
        <f t="shared" si="413"/>
        <v>1+99,345882657961i</v>
      </c>
      <c r="U468" s="4">
        <f t="shared" ref="U468:U531" si="426">IMABS(T468)</f>
        <v>99.350915451692529</v>
      </c>
      <c r="V468" s="4">
        <f t="shared" ref="V468:V531" si="427">IMARGUMENT(T468)</f>
        <v>1.5607308243143563</v>
      </c>
      <c r="W468" t="str">
        <f t="shared" si="414"/>
        <v>1-7,90661859500961i</v>
      </c>
      <c r="X468" s="4">
        <f t="shared" ref="X468:X531" si="428">IMABS(W468)</f>
        <v>7.9696058627106368</v>
      </c>
      <c r="Y468" s="4">
        <f t="shared" ref="Y468:Y531" si="429">IMARGUMENT(W468)</f>
        <v>-1.444987992891019</v>
      </c>
      <c r="Z468" t="str">
        <f t="shared" si="415"/>
        <v>0,6+1,08630544588611i</v>
      </c>
      <c r="AA468" s="4">
        <f t="shared" ref="AA468:AA531" si="430">IMABS(Z468)</f>
        <v>1.2409913463686282</v>
      </c>
      <c r="AB468" s="4">
        <f t="shared" ref="AB468:AB531" si="431">IMARGUMENT(Z468)</f>
        <v>1.0661653644518889</v>
      </c>
      <c r="AC468" s="47" t="str">
        <f t="shared" ref="AC468:AC531" si="432">(IMDIV(IMPRODUCT(P468,T468,W468),IMPRODUCT(Q468,Z468)))</f>
        <v>-3,5810646525452-2,55925876218178i</v>
      </c>
      <c r="AD468" s="20">
        <f t="shared" ref="AD468:AD531" si="433">20*LOG(IMABS(AC468))</f>
        <v>12.872154724428684</v>
      </c>
      <c r="AE468" s="43">
        <f t="shared" ref="AE468:AE531" si="434">(180/PI())*IMARGUMENT(AC468)</f>
        <v>-144.44796476711605</v>
      </c>
      <c r="AF468" t="str">
        <f t="shared" si="416"/>
        <v>171,265703090588</v>
      </c>
      <c r="AG468" t="str">
        <f t="shared" si="417"/>
        <v>1+7843,32294074786i</v>
      </c>
      <c r="AH468">
        <f t="shared" ref="AH468:AH531" si="435">IMABS(AG468)</f>
        <v>7843.3230044963502</v>
      </c>
      <c r="AI468">
        <f t="shared" ref="AI468:AI531" si="436">IMARGUMENT(AG468)</f>
        <v>1.5706688298140716</v>
      </c>
      <c r="AJ468" t="str">
        <f t="shared" si="418"/>
        <v>1+99,345882657961i</v>
      </c>
      <c r="AK468">
        <f t="shared" ref="AK468:AK531" si="437">IMABS(AJ468)</f>
        <v>99.350915451692529</v>
      </c>
      <c r="AL468">
        <f t="shared" ref="AL468:AL531" si="438">IMARGUMENT(AJ468)</f>
        <v>1.5607308243143563</v>
      </c>
      <c r="AM468" t="str">
        <f t="shared" si="419"/>
        <v>1-2,49797395040202i</v>
      </c>
      <c r="AN468">
        <f t="shared" ref="AN468:AN531" si="439">IMABS(AM468)</f>
        <v>2.6907013689532837</v>
      </c>
      <c r="AO468">
        <f t="shared" ref="AO468:AO531" si="440">IMARGUMENT(AM468)</f>
        <v>-1.1900102991984571</v>
      </c>
      <c r="AP468" s="41" t="str">
        <f t="shared" ref="AP468:AP531" si="441">(IMDIV(IMPRODUCT(AF468,AJ468,AM468),IMPRODUCT(AG468)))</f>
        <v>2,11545103153828-5,44042803974379i</v>
      </c>
      <c r="AQ468">
        <f t="shared" ref="AQ468:AQ531" si="442">20*LOG(IMABS(AP468))</f>
        <v>15.324153482753779</v>
      </c>
      <c r="AR468" s="43">
        <f t="shared" ref="AR468:AR531" si="443">(180/PI())*IMARGUMENT(AP468)</f>
        <v>-68.751973493083412</v>
      </c>
      <c r="AS468" t="str">
        <f t="shared" si="420"/>
        <v>-0,0000166666666666667</v>
      </c>
      <c r="AT468" t="str">
        <f t="shared" si="421"/>
        <v>0,00658464510256966i</v>
      </c>
      <c r="AU468">
        <f t="shared" ref="AU468:AU531" si="444">IMABS(AT468)</f>
        <v>6.5846451025696603E-3</v>
      </c>
      <c r="AV468">
        <f t="shared" ref="AV468:AV531" si="445">IMARGUMENT(AT468)</f>
        <v>1.5707963267948966</v>
      </c>
      <c r="AW468" t="str">
        <f t="shared" si="422"/>
        <v>1+2,21594678517697i</v>
      </c>
      <c r="AX468">
        <f t="shared" ref="AX468:AX531" si="446">IMABS(AW468)</f>
        <v>2.4311355689751544</v>
      </c>
      <c r="AY468">
        <f t="shared" ref="AY468:AY531" si="447">IMARGUMENT(AW468)</f>
        <v>1.1468831351020174</v>
      </c>
      <c r="AZ468" t="str">
        <f t="shared" si="423"/>
        <v>1+524,546260434034i</v>
      </c>
      <c r="BA468">
        <f t="shared" ref="BA468:BA531" si="448">IMABS(AZ468)</f>
        <v>524.5472136379426</v>
      </c>
      <c r="BB468">
        <f t="shared" ref="BB468:BB531" si="449">IMARGUMENT(AZ468)</f>
        <v>1.5688899195550292</v>
      </c>
      <c r="BC468" s="41" t="str">
        <f t="shared" ref="BC468:BC531" si="450">IMPRODUCT(AS468,IMDIV(AZ468,IMPRODUCT(AT468,AW468)))</f>
        <v>-0,223688292029805+0,498212492829498i</v>
      </c>
      <c r="BD468">
        <f t="shared" ref="BD468:BD531" si="451">20*LOG(IMABS(BC468))</f>
        <v>-5.2541643152020709</v>
      </c>
      <c r="BE468" s="43">
        <f t="shared" ref="BE468:BE531" si="452">(180/PI())*IMARGUMENT(BC468)</f>
        <v>114.17920767504465</v>
      </c>
      <c r="BF468" s="41" t="str">
        <f t="shared" ref="BF468:BF531" si="453">IMPRODUCT(AC468,BC468)</f>
        <v>2,07609692347846-1,21165492615339i</v>
      </c>
      <c r="BG468" s="20">
        <f t="shared" ref="BG468:BG531" si="454">20*LOG(IMABS(BF468))</f>
        <v>7.6179904092266053</v>
      </c>
      <c r="BH468" s="43">
        <f t="shared" ref="BH468:BH531" si="455">(180/PI())*IMARGUMENT(BF468)</f>
        <v>-30.26875709207145</v>
      </c>
      <c r="BI468" s="41" t="str">
        <f t="shared" si="409"/>
        <v>2,23728758762277+2,27090418800277i</v>
      </c>
      <c r="BJ468" s="20">
        <f t="shared" ref="BJ468:BJ531" si="456">20*LOG(IMABS(BI468))</f>
        <v>10.069989167551718</v>
      </c>
      <c r="BK468" s="43">
        <f t="shared" si="410"/>
        <v>45.427234181961218</v>
      </c>
      <c r="BL468">
        <f t="shared" ref="BL468:BL531" si="457">IF($B$31=0,BJ468,BG468)</f>
        <v>7.6179904092266053</v>
      </c>
      <c r="BM468" s="43">
        <f t="shared" ref="BM468:BM531" si="458">IF($B$31=0,BK468,BH468)</f>
        <v>-30.26875709207145</v>
      </c>
    </row>
    <row r="469" spans="14:65" x14ac:dyDescent="0.25">
      <c r="N469" s="9">
        <v>51</v>
      </c>
      <c r="O469" s="34">
        <f t="shared" si="408"/>
        <v>323593.65692962846</v>
      </c>
      <c r="P469" s="33" t="str">
        <f t="shared" si="411"/>
        <v>54,631621870174</v>
      </c>
      <c r="Q469" s="4" t="str">
        <f t="shared" si="412"/>
        <v>1+8103,56869517224i</v>
      </c>
      <c r="R469" s="4">
        <f t="shared" si="424"/>
        <v>8103.5687568734502</v>
      </c>
      <c r="S469" s="4">
        <f t="shared" si="425"/>
        <v>1.5706729243739954</v>
      </c>
      <c r="T469" s="4" t="str">
        <f t="shared" si="413"/>
        <v>1+101,659945535837i</v>
      </c>
      <c r="U469" s="4">
        <f t="shared" si="426"/>
        <v>101.66486377480345</v>
      </c>
      <c r="V469" s="4">
        <f t="shared" si="427"/>
        <v>1.5609599281725879</v>
      </c>
      <c r="W469" t="str">
        <f t="shared" si="414"/>
        <v>1-8,09078740091003i</v>
      </c>
      <c r="X469" s="4">
        <f t="shared" si="428"/>
        <v>8.1523518549388232</v>
      </c>
      <c r="Y469" s="4">
        <f t="shared" si="429"/>
        <v>-1.4478226262547205</v>
      </c>
      <c r="Z469" t="str">
        <f t="shared" si="415"/>
        <v>0,58114858077964+1,11160875025168i</v>
      </c>
      <c r="AA469" s="4">
        <f t="shared" si="430"/>
        <v>1.2543554865261648</v>
      </c>
      <c r="AB469" s="4">
        <f t="shared" si="431"/>
        <v>1.0890758660452673</v>
      </c>
      <c r="AC469" s="47" t="str">
        <f t="shared" si="432"/>
        <v>-3,6890512817804-2,49672811293492i</v>
      </c>
      <c r="AD469" s="20">
        <f t="shared" si="433"/>
        <v>12.976018744927229</v>
      </c>
      <c r="AE469" s="43">
        <f t="shared" si="434"/>
        <v>-145.91009035065827</v>
      </c>
      <c r="AF469" t="str">
        <f t="shared" si="416"/>
        <v>171,265703090588</v>
      </c>
      <c r="AG469" t="str">
        <f t="shared" si="417"/>
        <v>1+8026,01740146216i</v>
      </c>
      <c r="AH469">
        <f t="shared" si="435"/>
        <v>8026.0174637595574</v>
      </c>
      <c r="AI469">
        <f t="shared" si="436"/>
        <v>1.5706717319996444</v>
      </c>
      <c r="AJ469" t="str">
        <f t="shared" si="418"/>
        <v>1+101,659945535837i</v>
      </c>
      <c r="AK469">
        <f t="shared" si="437"/>
        <v>101.66486377480345</v>
      </c>
      <c r="AL469">
        <f t="shared" si="438"/>
        <v>1.5609599281725879</v>
      </c>
      <c r="AM469" t="str">
        <f t="shared" si="419"/>
        <v>1-2,55615923834626i</v>
      </c>
      <c r="AN469">
        <f t="shared" si="439"/>
        <v>2.7448041918838095</v>
      </c>
      <c r="AO469">
        <f t="shared" si="440"/>
        <v>-1.1978887497339641</v>
      </c>
      <c r="AP469" s="41" t="str">
        <f t="shared" si="441"/>
        <v>2,11545090778504-5,56615864257858i</v>
      </c>
      <c r="AQ469">
        <f t="shared" si="442"/>
        <v>15.497051055469782</v>
      </c>
      <c r="AR469" s="43">
        <f t="shared" si="443"/>
        <v>-69.190415056708432</v>
      </c>
      <c r="AS469" t="str">
        <f t="shared" si="420"/>
        <v>-0,0000166666666666667</v>
      </c>
      <c r="AT469" t="str">
        <f t="shared" si="421"/>
        <v>0,00673802119011532i</v>
      </c>
      <c r="AU469">
        <f t="shared" si="444"/>
        <v>6.7380211901153196E-3</v>
      </c>
      <c r="AV469">
        <f t="shared" si="445"/>
        <v>1.5707963267948966</v>
      </c>
      <c r="AW469" t="str">
        <f t="shared" si="422"/>
        <v>1+2,26756281653866i</v>
      </c>
      <c r="AX469">
        <f t="shared" si="446"/>
        <v>2.4782738200103598</v>
      </c>
      <c r="AY469">
        <f t="shared" si="447"/>
        <v>1.1554501881400081</v>
      </c>
      <c r="AZ469" t="str">
        <f t="shared" si="423"/>
        <v>1+536,764512429222i</v>
      </c>
      <c r="BA469">
        <f t="shared" si="448"/>
        <v>536.7654439355988</v>
      </c>
      <c r="BB469">
        <f t="shared" si="449"/>
        <v>1.5689333145802182</v>
      </c>
      <c r="BC469" s="41" t="str">
        <f t="shared" si="450"/>
        <v>-0,215259848352389+0,490588753433536i</v>
      </c>
      <c r="BD469">
        <f t="shared" si="451"/>
        <v>-5.4209672605004986</v>
      </c>
      <c r="BE469" s="43">
        <f t="shared" si="452"/>
        <v>113.69083804489814</v>
      </c>
      <c r="BF469" s="41" t="str">
        <f t="shared" si="453"/>
        <v>2,01897135206744-1,27236175471352i</v>
      </c>
      <c r="BG469" s="20">
        <f t="shared" si="454"/>
        <v>7.5550514844267287</v>
      </c>
      <c r="BH469" s="43">
        <f t="shared" si="455"/>
        <v>-32.219252305760229</v>
      </c>
      <c r="BI469" s="41" t="str">
        <f t="shared" si="409"/>
        <v>2,2753231882692+2,23598688910691i</v>
      </c>
      <c r="BJ469" s="20">
        <f t="shared" si="456"/>
        <v>10.076083794969289</v>
      </c>
      <c r="BK469" s="43">
        <f t="shared" si="410"/>
        <v>44.500422988189676</v>
      </c>
      <c r="BL469">
        <f t="shared" si="457"/>
        <v>7.5550514844267287</v>
      </c>
      <c r="BM469" s="43">
        <f t="shared" si="458"/>
        <v>-32.219252305760229</v>
      </c>
    </row>
    <row r="470" spans="14:65" x14ac:dyDescent="0.25">
      <c r="N470" s="9">
        <v>52</v>
      </c>
      <c r="O470" s="34">
        <f t="shared" si="408"/>
        <v>331131.12148259126</v>
      </c>
      <c r="P470" s="33" t="str">
        <f t="shared" si="411"/>
        <v>54,631621870174</v>
      </c>
      <c r="Q470" s="4" t="str">
        <f t="shared" si="412"/>
        <v>1+8292,32505823547i</v>
      </c>
      <c r="R470" s="4">
        <f t="shared" si="424"/>
        <v>8292.3251185321897</v>
      </c>
      <c r="S470" s="4">
        <f t="shared" si="425"/>
        <v>1.5706757333560084</v>
      </c>
      <c r="T470" s="4" t="str">
        <f t="shared" si="413"/>
        <v>1+104,027909862466i</v>
      </c>
      <c r="U470" s="4">
        <f t="shared" si="426"/>
        <v>104.032716153878</v>
      </c>
      <c r="V470" s="4">
        <f t="shared" si="427"/>
        <v>1.561183817988137</v>
      </c>
      <c r="W470" t="str">
        <f t="shared" si="414"/>
        <v>1-8,27924604938468i</v>
      </c>
      <c r="X470" s="4">
        <f t="shared" si="428"/>
        <v>8.3394193530636063</v>
      </c>
      <c r="Y470" s="4">
        <f t="shared" si="429"/>
        <v>-1.4505946560868823</v>
      </c>
      <c r="Z470" t="str">
        <f t="shared" si="415"/>
        <v>0,561408721542723+1,13750144429052i</v>
      </c>
      <c r="AA470" s="4">
        <f t="shared" si="430"/>
        <v>1.2684988326314115</v>
      </c>
      <c r="AB470" s="4">
        <f t="shared" si="431"/>
        <v>1.1123256356902831</v>
      </c>
      <c r="AC470" s="47" t="str">
        <f t="shared" si="432"/>
        <v>-3,79552972131774-2,42842887434095i</v>
      </c>
      <c r="AD470" s="20">
        <f t="shared" si="433"/>
        <v>13.075669026397872</v>
      </c>
      <c r="AE470" s="43">
        <f t="shared" si="434"/>
        <v>-147.38836263734342</v>
      </c>
      <c r="AF470" t="str">
        <f t="shared" si="416"/>
        <v>171,265703090588</v>
      </c>
      <c r="AG470" t="str">
        <f t="shared" si="417"/>
        <v>1+8212,96736283964i</v>
      </c>
      <c r="AH470">
        <f t="shared" si="435"/>
        <v>8212.9674237189738</v>
      </c>
      <c r="AI470">
        <f t="shared" si="436"/>
        <v>1.5706745681234104</v>
      </c>
      <c r="AJ470" t="str">
        <f t="shared" si="418"/>
        <v>1+104,027909862466i</v>
      </c>
      <c r="AK470">
        <f t="shared" si="437"/>
        <v>104.032716153878</v>
      </c>
      <c r="AL470">
        <f t="shared" si="438"/>
        <v>1.561183817988137</v>
      </c>
      <c r="AM470" t="str">
        <f t="shared" si="419"/>
        <v>1-2,61569983575344i</v>
      </c>
      <c r="AN470">
        <f t="shared" si="439"/>
        <v>2.8003366995346424</v>
      </c>
      <c r="AO470">
        <f t="shared" si="440"/>
        <v>-1.2056350782453413</v>
      </c>
      <c r="AP470" s="41" t="str">
        <f t="shared" si="441"/>
        <v>2,11545078960165-5,69484049640118i</v>
      </c>
      <c r="AQ470">
        <f t="shared" si="442"/>
        <v>15.671009821648635</v>
      </c>
      <c r="AR470" s="43">
        <f t="shared" si="443"/>
        <v>-69.621581543547208</v>
      </c>
      <c r="AS470" t="str">
        <f t="shared" si="420"/>
        <v>-0,0000166666666666667</v>
      </c>
      <c r="AT470" t="str">
        <f t="shared" si="421"/>
        <v>0,00689496986568423i</v>
      </c>
      <c r="AU470">
        <f t="shared" si="444"/>
        <v>6.89496986568423E-3</v>
      </c>
      <c r="AV470">
        <f t="shared" si="445"/>
        <v>1.5707963267948966</v>
      </c>
      <c r="AW470" t="str">
        <f t="shared" si="422"/>
        <v>1+2,32038113972042i</v>
      </c>
      <c r="AX470">
        <f t="shared" si="446"/>
        <v>2.526691242231673</v>
      </c>
      <c r="AY470">
        <f t="shared" si="447"/>
        <v>1.1638852504576189</v>
      </c>
      <c r="AZ470" t="str">
        <f t="shared" si="423"/>
        <v>1+549,26736407382i</v>
      </c>
      <c r="BA470">
        <f t="shared" si="448"/>
        <v>549.26827437655845</v>
      </c>
      <c r="BB470">
        <f t="shared" si="449"/>
        <v>1.5689757218208173</v>
      </c>
      <c r="BC470" s="41" t="str">
        <f t="shared" si="450"/>
        <v>-0,207089108304477+0,482942882254629i</v>
      </c>
      <c r="BD470">
        <f t="shared" si="451"/>
        <v>-5.5890256577410069</v>
      </c>
      <c r="BE470" s="43">
        <f t="shared" si="452"/>
        <v>113.20997433007652</v>
      </c>
      <c r="BF470" s="41" t="str">
        <f t="shared" si="453"/>
        <v>1,95880530545541-1,33012289312819i</v>
      </c>
      <c r="BG470" s="20">
        <f t="shared" si="454"/>
        <v>7.4866433686568623</v>
      </c>
      <c r="BH470" s="43">
        <f t="shared" si="455"/>
        <v>-34.178388307267035</v>
      </c>
      <c r="BI470" s="41" t="str">
        <f t="shared" si="409"/>
        <v>2,31219586563176+2,200981341934i</v>
      </c>
      <c r="BJ470" s="20">
        <f t="shared" si="456"/>
        <v>10.081984163907634</v>
      </c>
      <c r="BK470" s="43">
        <f t="shared" si="410"/>
        <v>43.58839278652934</v>
      </c>
      <c r="BL470">
        <f t="shared" si="457"/>
        <v>7.4866433686568623</v>
      </c>
      <c r="BM470" s="43">
        <f t="shared" si="458"/>
        <v>-34.178388307267035</v>
      </c>
    </row>
    <row r="471" spans="14:65" x14ac:dyDescent="0.25">
      <c r="N471" s="9">
        <v>53</v>
      </c>
      <c r="O471" s="34">
        <f t="shared" si="408"/>
        <v>338844.15613920329</v>
      </c>
      <c r="P471" s="33" t="str">
        <f t="shared" si="411"/>
        <v>54,631621870174</v>
      </c>
      <c r="Q471" s="4" t="str">
        <f t="shared" si="412"/>
        <v>1+8485,47812180646i</v>
      </c>
      <c r="R471" s="4">
        <f t="shared" si="424"/>
        <v>8485.478180730659</v>
      </c>
      <c r="S471" s="4">
        <f t="shared" si="425"/>
        <v>1.5706784783977861</v>
      </c>
      <c r="T471" s="4" t="str">
        <f t="shared" si="413"/>
        <v>1+106,451031163875i</v>
      </c>
      <c r="U471" s="4">
        <f t="shared" si="426"/>
        <v>106.45572805562078</v>
      </c>
      <c r="V471" s="4">
        <f t="shared" si="427"/>
        <v>1.5614026123805127</v>
      </c>
      <c r="W471" t="str">
        <f t="shared" si="414"/>
        <v>1-8,47209446370347i</v>
      </c>
      <c r="X471" s="4">
        <f t="shared" si="428"/>
        <v>8.5309076071608594</v>
      </c>
      <c r="Y471" s="4">
        <f t="shared" si="429"/>
        <v>-1.4533053816575363</v>
      </c>
      <c r="Z471" t="str">
        <f t="shared" si="415"/>
        <v>0,540738551401243+1,16399725665172i</v>
      </c>
      <c r="AA471" s="4">
        <f t="shared" si="430"/>
        <v>1.283467099096913</v>
      </c>
      <c r="AB471" s="4">
        <f t="shared" si="431"/>
        <v>1.1359061528539627</v>
      </c>
      <c r="AC471" s="47" t="str">
        <f t="shared" si="432"/>
        <v>-3,90010117992094-2,35432933784058i</v>
      </c>
      <c r="AD471" s="20">
        <f t="shared" si="433"/>
        <v>13.170946106049007</v>
      </c>
      <c r="AE471" s="43">
        <f t="shared" si="434"/>
        <v>-148.88236116821901</v>
      </c>
      <c r="AF471" t="str">
        <f t="shared" si="416"/>
        <v>171,265703090588</v>
      </c>
      <c r="AG471" t="str">
        <f t="shared" si="417"/>
        <v>1+8404,27194822436i</v>
      </c>
      <c r="AH471">
        <f t="shared" si="435"/>
        <v>8404.272007717911</v>
      </c>
      <c r="AI471">
        <f t="shared" si="436"/>
        <v>1.5706773396891198</v>
      </c>
      <c r="AJ471" t="str">
        <f t="shared" si="418"/>
        <v>1+106,451031163875i</v>
      </c>
      <c r="AK471">
        <f t="shared" si="437"/>
        <v>106.45572805562078</v>
      </c>
      <c r="AL471">
        <f t="shared" si="438"/>
        <v>1.5614026123805127</v>
      </c>
      <c r="AM471" t="str">
        <f t="shared" si="419"/>
        <v>1-2,67662731183642i</v>
      </c>
      <c r="AN471">
        <f t="shared" si="439"/>
        <v>2.8573298315855418</v>
      </c>
      <c r="AO471">
        <f t="shared" si="440"/>
        <v>-1.2132496723334538</v>
      </c>
      <c r="AP471" s="41" t="str">
        <f t="shared" si="441"/>
        <v>2,11545067673736-5,82654183003375i</v>
      </c>
      <c r="AQ471">
        <f t="shared" si="442"/>
        <v>15.845994231403562</v>
      </c>
      <c r="AR471" s="43">
        <f t="shared" si="443"/>
        <v>-70.045488451254897</v>
      </c>
      <c r="AS471" t="str">
        <f t="shared" si="420"/>
        <v>-0,0000166666666666667</v>
      </c>
      <c r="AT471" t="str">
        <f t="shared" si="421"/>
        <v>0,00705557434554166i</v>
      </c>
      <c r="AU471">
        <f t="shared" si="444"/>
        <v>7.0555743455416597E-3</v>
      </c>
      <c r="AV471">
        <f t="shared" si="445"/>
        <v>1.5707963267948966</v>
      </c>
      <c r="AW471" t="str">
        <f t="shared" si="422"/>
        <v>1+2,37442975969634i</v>
      </c>
      <c r="AX471">
        <f t="shared" si="446"/>
        <v>2.5764154718778607</v>
      </c>
      <c r="AY471">
        <f t="shared" si="447"/>
        <v>1.1721879921310543</v>
      </c>
      <c r="AZ471" t="str">
        <f t="shared" si="423"/>
        <v>1+562,061444545262i</v>
      </c>
      <c r="BA471">
        <f t="shared" si="448"/>
        <v>562.06233412701351</v>
      </c>
      <c r="BB471">
        <f t="shared" si="449"/>
        <v>1.5690171637610961</v>
      </c>
      <c r="BC471" s="41" t="str">
        <f t="shared" si="450"/>
        <v>-0,199172700198495+0,475283785103909i</v>
      </c>
      <c r="BD471">
        <f t="shared" si="451"/>
        <v>-5.7583007749831268</v>
      </c>
      <c r="BE471" s="43">
        <f t="shared" si="452"/>
        <v>112.73663672207402</v>
      </c>
      <c r="BF471" s="41" t="str">
        <f t="shared" si="453"/>
        <v>1,89576824212224-1,3847367197068i</v>
      </c>
      <c r="BG471" s="20">
        <f t="shared" si="454"/>
        <v>7.4126453310658693</v>
      </c>
      <c r="BH471" s="43">
        <f t="shared" si="455"/>
        <v>-36.145724446144932</v>
      </c>
      <c r="BI471" s="41" t="str">
        <f t="shared" si="409"/>
        <v>2,34792083162218+2,16592747394766i</v>
      </c>
      <c r="BJ471" s="20">
        <f t="shared" si="456"/>
        <v>10.087693456420423</v>
      </c>
      <c r="BK471" s="43">
        <f t="shared" si="410"/>
        <v>42.691148270819184</v>
      </c>
      <c r="BL471">
        <f t="shared" si="457"/>
        <v>7.4126453310658693</v>
      </c>
      <c r="BM471" s="43">
        <f t="shared" si="458"/>
        <v>-36.145724446144932</v>
      </c>
    </row>
    <row r="472" spans="14:65" x14ac:dyDescent="0.25">
      <c r="N472" s="9">
        <v>54</v>
      </c>
      <c r="O472" s="34">
        <f t="shared" si="408"/>
        <v>346736.85045253241</v>
      </c>
      <c r="P472" s="33" t="str">
        <f t="shared" si="411"/>
        <v>54,631621870174</v>
      </c>
      <c r="Q472" s="4" t="str">
        <f t="shared" si="412"/>
        <v>1+8683,13029819621i</v>
      </c>
      <c r="R472" s="4">
        <f t="shared" si="424"/>
        <v>8683.1303557791307</v>
      </c>
      <c r="S472" s="4">
        <f t="shared" si="425"/>
        <v>1.5706811609547864</v>
      </c>
      <c r="T472" s="4" t="str">
        <f t="shared" si="413"/>
        <v>1+108,930594211054i</v>
      </c>
      <c r="U472" s="4">
        <f t="shared" si="426"/>
        <v>108.93518419304809</v>
      </c>
      <c r="V472" s="4">
        <f t="shared" si="427"/>
        <v>1.5616164272735586</v>
      </c>
      <c r="W472" t="str">
        <f t="shared" si="414"/>
        <v>1-8,66943489464833i</v>
      </c>
      <c r="X472" s="4">
        <f t="shared" si="428"/>
        <v>8.7269182070503035</v>
      </c>
      <c r="Y472" s="4">
        <f t="shared" si="429"/>
        <v>-1.4559560807955649</v>
      </c>
      <c r="Z472" t="str">
        <f t="shared" si="415"/>
        <v>0,51909422615303+1,19111023576573i</v>
      </c>
      <c r="AA472" s="4">
        <f t="shared" si="430"/>
        <v>1.2993084350420059</v>
      </c>
      <c r="AB472" s="4">
        <f t="shared" si="431"/>
        <v>1.1598077444464356</v>
      </c>
      <c r="AC472" s="47" t="str">
        <f t="shared" si="432"/>
        <v>-4,00235367373372-2,27442968426364i</v>
      </c>
      <c r="AD472" s="20">
        <f t="shared" si="433"/>
        <v>13.261691852051381</v>
      </c>
      <c r="AE472" s="43">
        <f t="shared" si="434"/>
        <v>-150.39159837170695</v>
      </c>
      <c r="AF472" t="str">
        <f t="shared" si="416"/>
        <v>171,265703090588</v>
      </c>
      <c r="AG472" t="str">
        <f t="shared" si="417"/>
        <v>1+8600,03258983971i</v>
      </c>
      <c r="AH472">
        <f t="shared" si="435"/>
        <v>8600.0326479790237</v>
      </c>
      <c r="AI472">
        <f t="shared" si="436"/>
        <v>1.570680048166293</v>
      </c>
      <c r="AJ472" t="str">
        <f t="shared" si="418"/>
        <v>1+108,930594211054i</v>
      </c>
      <c r="AK472">
        <f t="shared" si="437"/>
        <v>108.93518419304809</v>
      </c>
      <c r="AL472">
        <f t="shared" si="438"/>
        <v>1.5616164272735586</v>
      </c>
      <c r="AM472" t="str">
        <f t="shared" si="419"/>
        <v>1-2,73897397114948i</v>
      </c>
      <c r="AN472">
        <f t="shared" si="439"/>
        <v>2.9158152229924226</v>
      </c>
      <c r="AO472">
        <f t="shared" si="440"/>
        <v>-1.2207330362745168</v>
      </c>
      <c r="AP472" s="41" t="str">
        <f t="shared" si="441"/>
        <v>2,11545056895283-5,96133247326682i</v>
      </c>
      <c r="AQ472">
        <f t="shared" si="442"/>
        <v>16.021969458473883</v>
      </c>
      <c r="AR472" s="43">
        <f t="shared" si="443"/>
        <v>-70.462158114980426</v>
      </c>
      <c r="AS472" t="str">
        <f t="shared" si="420"/>
        <v>-0,0000166666666666667</v>
      </c>
      <c r="AT472" t="str">
        <f t="shared" si="421"/>
        <v>0,00721991978430865i</v>
      </c>
      <c r="AU472">
        <f t="shared" si="444"/>
        <v>7.2199197843086501E-3</v>
      </c>
      <c r="AV472">
        <f t="shared" si="445"/>
        <v>1.5707963267948966</v>
      </c>
      <c r="AW472" t="str">
        <f t="shared" si="422"/>
        <v>1+2,42973733376014i</v>
      </c>
      <c r="AX472">
        <f t="shared" si="446"/>
        <v>2.6274747403291689</v>
      </c>
      <c r="AY472">
        <f t="shared" si="447"/>
        <v>1.1803582355019067</v>
      </c>
      <c r="AZ472" t="str">
        <f t="shared" si="423"/>
        <v>1+575,153537434365i</v>
      </c>
      <c r="BA472">
        <f t="shared" si="448"/>
        <v>575.15440676679475</v>
      </c>
      <c r="BB472">
        <f t="shared" si="449"/>
        <v>1.5690576623735506</v>
      </c>
      <c r="BC472" s="41" t="str">
        <f t="shared" si="450"/>
        <v>-0,1915069365344+0,467619981604193i</v>
      </c>
      <c r="BD472">
        <f t="shared" si="451"/>
        <v>-5.9287544145580888</v>
      </c>
      <c r="BE472" s="43">
        <f t="shared" si="452"/>
        <v>112.27083665889907</v>
      </c>
      <c r="BF472" s="41" t="str">
        <f t="shared" si="453"/>
        <v>1,83004725809934-1,4360114900886i</v>
      </c>
      <c r="BG472" s="20">
        <f t="shared" si="454"/>
        <v>7.332937437493281</v>
      </c>
      <c r="BH472" s="43">
        <f t="shared" si="455"/>
        <v>-38.120761712807791</v>
      </c>
      <c r="BI472" s="41" t="str">
        <f t="shared" si="409"/>
        <v>2,3825147236354+2,13086347575667i</v>
      </c>
      <c r="BJ472" s="20">
        <f t="shared" si="456"/>
        <v>10.093215043915801</v>
      </c>
      <c r="BK472" s="43">
        <f t="shared" si="410"/>
        <v>41.808678543918653</v>
      </c>
      <c r="BL472">
        <f t="shared" si="457"/>
        <v>7.332937437493281</v>
      </c>
      <c r="BM472" s="43">
        <f t="shared" si="458"/>
        <v>-38.120761712807791</v>
      </c>
    </row>
    <row r="473" spans="14:65" x14ac:dyDescent="0.25">
      <c r="N473" s="9">
        <v>55</v>
      </c>
      <c r="O473" s="34">
        <f t="shared" si="408"/>
        <v>354813.38923357555</v>
      </c>
      <c r="P473" s="33" t="str">
        <f t="shared" si="411"/>
        <v>54,631621870174</v>
      </c>
      <c r="Q473" s="4" t="str">
        <f t="shared" si="412"/>
        <v>1+8885,38638520484i</v>
      </c>
      <c r="R473" s="4">
        <f t="shared" si="424"/>
        <v>8885.3864414770123</v>
      </c>
      <c r="S473" s="4">
        <f t="shared" si="425"/>
        <v>1.5706837824493358</v>
      </c>
      <c r="T473" s="4" t="str">
        <f t="shared" si="413"/>
        <v>1+111,467913701149i</v>
      </c>
      <c r="U473" s="4">
        <f t="shared" si="426"/>
        <v>111.47239920665025</v>
      </c>
      <c r="V473" s="4">
        <f t="shared" si="427"/>
        <v>1.5618253759565168</v>
      </c>
      <c r="W473" t="str">
        <f t="shared" si="414"/>
        <v>1-8,87137197472783i</v>
      </c>
      <c r="X473" s="4">
        <f t="shared" si="428"/>
        <v>8.9275551364293673</v>
      </c>
      <c r="Y473" s="4">
        <f t="shared" si="429"/>
        <v>-1.4585480098615142</v>
      </c>
      <c r="Z473" t="str">
        <f t="shared" si="415"/>
        <v>0,496429835282334+1,21885475729294i</v>
      </c>
      <c r="AA473" s="4">
        <f t="shared" si="430"/>
        <v>1.3160735164625406</v>
      </c>
      <c r="AB473" s="4">
        <f t="shared" si="431"/>
        <v>1.184019561284896</v>
      </c>
      <c r="AC473" s="47" t="str">
        <f t="shared" si="432"/>
        <v>-4,10186485796418-2,18876436424474i</v>
      </c>
      <c r="AD473" s="20">
        <f t="shared" si="433"/>
        <v>13.34775025389116</v>
      </c>
      <c r="AE473" s="43">
        <f t="shared" si="434"/>
        <v>-151.91551821007602</v>
      </c>
      <c r="AF473" t="str">
        <f t="shared" si="416"/>
        <v>171,265703090588</v>
      </c>
      <c r="AG473" t="str">
        <f t="shared" si="417"/>
        <v>1+8800,35308256904i</v>
      </c>
      <c r="AH473">
        <f t="shared" si="435"/>
        <v>8800.3531393849407</v>
      </c>
      <c r="AI473">
        <f t="shared" si="436"/>
        <v>1.5706826949910004</v>
      </c>
      <c r="AJ473" t="str">
        <f t="shared" si="418"/>
        <v>1+111,467913701149i</v>
      </c>
      <c r="AK473">
        <f t="shared" si="437"/>
        <v>111.47239920665025</v>
      </c>
      <c r="AL473">
        <f t="shared" si="438"/>
        <v>1.5618253759565168</v>
      </c>
      <c r="AM473" t="str">
        <f t="shared" si="419"/>
        <v>1-2,80277287071664i</v>
      </c>
      <c r="AN473">
        <f t="shared" si="439"/>
        <v>2.9758252241731533</v>
      </c>
      <c r="AO473">
        <f t="shared" si="440"/>
        <v>-1.2280857842692938</v>
      </c>
      <c r="AP473" s="41" t="str">
        <f t="shared" si="441"/>
        <v>2,11545046601937-6,09928389388358i</v>
      </c>
      <c r="AQ473">
        <f t="shared" si="442"/>
        <v>16.198901423228349</v>
      </c>
      <c r="AR473" s="43">
        <f t="shared" si="443"/>
        <v>-70.871619317120988</v>
      </c>
      <c r="AS473" t="str">
        <f t="shared" si="420"/>
        <v>-0,0000166666666666667</v>
      </c>
      <c r="AT473" t="str">
        <f t="shared" si="421"/>
        <v>0,0073880933201122i</v>
      </c>
      <c r="AU473">
        <f t="shared" si="444"/>
        <v>7.3880933201121999E-3</v>
      </c>
      <c r="AV473">
        <f t="shared" si="445"/>
        <v>1.5707963267948966</v>
      </c>
      <c r="AW473" t="str">
        <f t="shared" si="422"/>
        <v>1+2,48633318671966i</v>
      </c>
      <c r="AX473">
        <f t="shared" si="446"/>
        <v>2.679897892715978</v>
      </c>
      <c r="AY473">
        <f t="shared" si="447"/>
        <v>1.1883959483938145</v>
      </c>
      <c r="AZ473" t="str">
        <f t="shared" si="423"/>
        <v>1+588,550584342069i</v>
      </c>
      <c r="BA473">
        <f t="shared" si="448"/>
        <v>588.55143388610554</v>
      </c>
      <c r="BB473">
        <f t="shared" si="449"/>
        <v>1.5690972391305491</v>
      </c>
      <c r="BC473" s="41" t="str">
        <f t="shared" si="450"/>
        <v>-0,184087845015192+0,459959600323706i</v>
      </c>
      <c r="BD473">
        <f t="shared" si="451"/>
        <v>-6.1003489584907067</v>
      </c>
      <c r="BE473" s="43">
        <f t="shared" si="452"/>
        <v>111.81257721439779</v>
      </c>
      <c r="BF473" s="41" t="str">
        <f t="shared" si="453"/>
        <v>1,76184664442695-1,4837672055912i</v>
      </c>
      <c r="BG473" s="20">
        <f t="shared" si="454"/>
        <v>7.2474012954004463</v>
      </c>
      <c r="BH473" s="43">
        <f t="shared" si="455"/>
        <v>-40.10294099567831</v>
      </c>
      <c r="BI473" s="41" t="str">
        <f t="shared" si="409"/>
        <v>2,41599546456562+2,09582577901576i</v>
      </c>
      <c r="BJ473" s="20">
        <f t="shared" si="456"/>
        <v>10.098552464737637</v>
      </c>
      <c r="BK473" s="43">
        <f t="shared" si="410"/>
        <v>40.940957897276753</v>
      </c>
      <c r="BL473">
        <f t="shared" si="457"/>
        <v>7.2474012954004463</v>
      </c>
      <c r="BM473" s="43">
        <f t="shared" si="458"/>
        <v>-40.10294099567831</v>
      </c>
    </row>
    <row r="474" spans="14:65" x14ac:dyDescent="0.25">
      <c r="N474" s="9">
        <v>56</v>
      </c>
      <c r="O474" s="34">
        <f t="shared" si="408"/>
        <v>363078.05477010203</v>
      </c>
      <c r="P474" s="33" t="str">
        <f t="shared" si="411"/>
        <v>54,631621870174</v>
      </c>
      <c r="Q474" s="4" t="str">
        <f t="shared" si="412"/>
        <v>1+9092,35362168696i</v>
      </c>
      <c r="R474" s="4">
        <f t="shared" si="424"/>
        <v>9092.3536766782217</v>
      </c>
      <c r="S474" s="4">
        <f t="shared" si="425"/>
        <v>1.5706863442713856</v>
      </c>
      <c r="T474" s="4" t="str">
        <f t="shared" si="413"/>
        <v>1+114,064334954543i</v>
      </c>
      <c r="U474" s="4">
        <f t="shared" si="426"/>
        <v>114.06871836144289</v>
      </c>
      <c r="V474" s="4">
        <f t="shared" si="427"/>
        <v>1.5620295691437225</v>
      </c>
      <c r="W474" t="str">
        <f t="shared" si="414"/>
        <v>1-9,0780127736549i</v>
      </c>
      <c r="X474" s="4">
        <f t="shared" si="428"/>
        <v>9.1329248282596485</v>
      </c>
      <c r="Y474" s="4">
        <f t="shared" si="429"/>
        <v>-1.4610824037525061</v>
      </c>
      <c r="Z474" t="str">
        <f t="shared" si="415"/>
        <v>0,472697304577434+1,24724553174593i</v>
      </c>
      <c r="AA474" s="4">
        <f t="shared" si="430"/>
        <v>1.3338156387653277</v>
      </c>
      <c r="AB474" s="4">
        <f t="shared" si="431"/>
        <v>1.2085295629222317</v>
      </c>
      <c r="AC474" s="47" t="str">
        <f t="shared" si="432"/>
        <v>-4,19820525586846-2,09740421858177i</v>
      </c>
      <c r="AD474" s="20">
        <f t="shared" si="433"/>
        <v>13.428968259767515</v>
      </c>
      <c r="AE474" s="43">
        <f t="shared" si="434"/>
        <v>-153.45349530709075</v>
      </c>
      <c r="AF474" t="str">
        <f t="shared" si="416"/>
        <v>171,265703090588</v>
      </c>
      <c r="AG474" t="str">
        <f t="shared" si="417"/>
        <v>1+9005,33963898926i</v>
      </c>
      <c r="AH474">
        <f t="shared" si="435"/>
        <v>9005.3396945118748</v>
      </c>
      <c r="AI474">
        <f t="shared" si="436"/>
        <v>1.5706852815666235</v>
      </c>
      <c r="AJ474" t="str">
        <f t="shared" si="418"/>
        <v>1+114,064334954543i</v>
      </c>
      <c r="AK474">
        <f t="shared" si="437"/>
        <v>114.06871836144289</v>
      </c>
      <c r="AL474">
        <f t="shared" si="438"/>
        <v>1.5620295691437225</v>
      </c>
      <c r="AM474" t="str">
        <f t="shared" si="419"/>
        <v>1-2,86805783755896i</v>
      </c>
      <c r="AN474">
        <f t="shared" si="439"/>
        <v>3.0373929215008353</v>
      </c>
      <c r="AO474">
        <f t="shared" si="440"/>
        <v>-1.2353086337880825</v>
      </c>
      <c r="AP474" s="41" t="str">
        <f t="shared" si="441"/>
        <v>2,1154503677187-6,24046923555353i</v>
      </c>
      <c r="AQ474">
        <f t="shared" si="442"/>
        <v>16.376756811943022</v>
      </c>
      <c r="AR474" s="43">
        <f t="shared" si="443"/>
        <v>-71.273906902640178</v>
      </c>
      <c r="AS474" t="str">
        <f t="shared" si="420"/>
        <v>-0,0000166666666666667</v>
      </c>
      <c r="AT474" t="str">
        <f t="shared" si="421"/>
        <v>0,00756018412078708i</v>
      </c>
      <c r="AU474">
        <f t="shared" si="444"/>
        <v>7.5601841207870802E-3</v>
      </c>
      <c r="AV474">
        <f t="shared" si="445"/>
        <v>1.5707963267948966</v>
      </c>
      <c r="AW474" t="str">
        <f t="shared" si="422"/>
        <v>1+2,54424732644532i</v>
      </c>
      <c r="AX474">
        <f t="shared" si="446"/>
        <v>2.733714406832608</v>
      </c>
      <c r="AY474">
        <f t="shared" si="447"/>
        <v>1.1963012372641193</v>
      </c>
      <c r="AZ474" t="str">
        <f t="shared" si="423"/>
        <v>1+602,259688559984i</v>
      </c>
      <c r="BA474">
        <f t="shared" si="448"/>
        <v>602.26051876606437</v>
      </c>
      <c r="BB474">
        <f t="shared" si="449"/>
        <v>1.5691359150157158</v>
      </c>
      <c r="BC474" s="41" t="str">
        <f t="shared" si="450"/>
        <v>-0,176911198684815+0,452310376119501i</v>
      </c>
      <c r="BD474">
        <f t="shared" si="451"/>
        <v>-6.2730474092934161</v>
      </c>
      <c r="BE474" s="43">
        <f t="shared" si="452"/>
        <v>111.3618534912866</v>
      </c>
      <c r="BF474" s="41" t="str">
        <f t="shared" si="453"/>
        <v>1,69138721512193-1,52783750387284i</v>
      </c>
      <c r="BG474" s="20">
        <f t="shared" si="454"/>
        <v>7.1559208504741019</v>
      </c>
      <c r="BH474" s="43">
        <f t="shared" si="455"/>
        <v>-42.091641815804103</v>
      </c>
      <c r="BI474" s="41" t="str">
        <f t="shared" si="409"/>
        <v>2,44838212678404+2,06084904430247i</v>
      </c>
      <c r="BJ474" s="20">
        <f t="shared" si="456"/>
        <v>10.103709402649601</v>
      </c>
      <c r="BK474" s="43">
        <f t="shared" si="410"/>
        <v>40.087946588646496</v>
      </c>
      <c r="BL474">
        <f t="shared" si="457"/>
        <v>7.1559208504741019</v>
      </c>
      <c r="BM474" s="43">
        <f t="shared" si="458"/>
        <v>-42.091641815804103</v>
      </c>
    </row>
    <row r="475" spans="14:65" x14ac:dyDescent="0.25">
      <c r="N475" s="9">
        <v>57</v>
      </c>
      <c r="O475" s="34">
        <f t="shared" si="408"/>
        <v>371535.2290971732</v>
      </c>
      <c r="P475" s="33" t="str">
        <f t="shared" si="411"/>
        <v>54,631621870174</v>
      </c>
      <c r="Q475" s="4" t="str">
        <f t="shared" si="412"/>
        <v>1+9304,1417444108i</v>
      </c>
      <c r="R475" s="4">
        <f t="shared" si="424"/>
        <v>9304.1417981503055</v>
      </c>
      <c r="S475" s="4">
        <f t="shared" si="425"/>
        <v>1.5706888477792476</v>
      </c>
      <c r="T475" s="4" t="str">
        <f t="shared" si="413"/>
        <v>1+116,721234628148i</v>
      </c>
      <c r="U475" s="4">
        <f t="shared" si="426"/>
        <v>116.72551826022951</v>
      </c>
      <c r="V475" s="4">
        <f t="shared" si="427"/>
        <v>1.5622291150329561</v>
      </c>
      <c r="W475" t="str">
        <f t="shared" si="414"/>
        <v>1-9,28946685511623i</v>
      </c>
      <c r="X475" s="4">
        <f t="shared" si="428"/>
        <v>9.3431362214356604</v>
      </c>
      <c r="Y475" s="4">
        <f t="shared" si="429"/>
        <v>-1.4635604759367098</v>
      </c>
      <c r="Z475" t="str">
        <f t="shared" si="415"/>
        <v>0,447846294158843+1,27629761228909i</v>
      </c>
      <c r="AA475" s="4">
        <f t="shared" si="430"/>
        <v>1.3525908096414974</v>
      </c>
      <c r="AB475" s="4">
        <f t="shared" si="431"/>
        <v>1.2333245118078369</v>
      </c>
      <c r="AC475" s="47" t="str">
        <f t="shared" si="432"/>
        <v>-4,29094186366447-2,00045827046147i</v>
      </c>
      <c r="AD475" s="20">
        <f t="shared" si="433"/>
        <v>13.505196653917322</v>
      </c>
      <c r="AE475" s="43">
        <f t="shared" si="434"/>
        <v>-155.00483461212437</v>
      </c>
      <c r="AF475" t="str">
        <f t="shared" si="416"/>
        <v>171,265703090588</v>
      </c>
      <c r="AG475" t="str">
        <f t="shared" si="417"/>
        <v>1+9215,1009456858i</v>
      </c>
      <c r="AH475">
        <f t="shared" si="435"/>
        <v>9215.1009999445632</v>
      </c>
      <c r="AI475">
        <f t="shared" si="436"/>
        <v>1.5706878092645984</v>
      </c>
      <c r="AJ475" t="str">
        <f t="shared" si="418"/>
        <v>1+116,721234628148i</v>
      </c>
      <c r="AK475">
        <f t="shared" si="437"/>
        <v>116.72551826022951</v>
      </c>
      <c r="AL475">
        <f t="shared" si="438"/>
        <v>1.5622291150329561</v>
      </c>
      <c r="AM475" t="str">
        <f t="shared" si="419"/>
        <v>1-2,93486348662998i</v>
      </c>
      <c r="AN475">
        <f t="shared" si="439"/>
        <v>3.1005521581089202</v>
      </c>
      <c r="AO475">
        <f t="shared" si="440"/>
        <v>-1.2424023990335218</v>
      </c>
      <c r="AP475" s="41" t="str">
        <f t="shared" si="441"/>
        <v>2,11545027384228-6,38496335661346i</v>
      </c>
      <c r="AQ475">
        <f t="shared" si="442"/>
        <v>16.555503092552119</v>
      </c>
      <c r="AR475" s="43">
        <f t="shared" si="443"/>
        <v>-71.669061401213938</v>
      </c>
      <c r="AS475" t="str">
        <f t="shared" si="420"/>
        <v>-0,0000166666666666667</v>
      </c>
      <c r="AT475" t="str">
        <f t="shared" si="421"/>
        <v>0,00773628343115365i</v>
      </c>
      <c r="AU475">
        <f t="shared" si="444"/>
        <v>7.7362834311536502E-3</v>
      </c>
      <c r="AV475">
        <f t="shared" si="445"/>
        <v>1.5707963267948966</v>
      </c>
      <c r="AW475" t="str">
        <f t="shared" si="422"/>
        <v>1+2,60351045978054i</v>
      </c>
      <c r="AX475">
        <f t="shared" si="446"/>
        <v>2.7889544123536112</v>
      </c>
      <c r="AY475">
        <f t="shared" si="447"/>
        <v>1.2040743403275227</v>
      </c>
      <c r="AZ475" t="str">
        <f t="shared" si="423"/>
        <v>1+616,288118836621i</v>
      </c>
      <c r="BA475">
        <f t="shared" si="448"/>
        <v>616.28893014492894</v>
      </c>
      <c r="BB475">
        <f t="shared" si="449"/>
        <v>1.5691737105350543</v>
      </c>
      <c r="BC475" s="41" t="str">
        <f t="shared" si="450"/>
        <v>-0,1699725450633+0,444679649523906i</v>
      </c>
      <c r="BD475">
        <f t="shared" si="451"/>
        <v>-6.4468134262752574</v>
      </c>
      <c r="BE475" s="43">
        <f t="shared" si="452"/>
        <v>110.91865301577594</v>
      </c>
      <c r="BF475" s="41" t="str">
        <f t="shared" si="453"/>
        <v>1,61890539188172-1,56807154053851i</v>
      </c>
      <c r="BG475" s="20">
        <f t="shared" si="454"/>
        <v>7.0583832276420804</v>
      </c>
      <c r="BH475" s="43">
        <f t="shared" si="455"/>
        <v>-44.086181596348354</v>
      </c>
      <c r="BI475" s="41" t="str">
        <f t="shared" si="409"/>
        <v>2,47969480064203+2,02596615821694i</v>
      </c>
      <c r="BJ475" s="20">
        <f t="shared" si="456"/>
        <v>10.108689666276868</v>
      </c>
      <c r="BK475" s="43">
        <f t="shared" si="410"/>
        <v>39.249591614562043</v>
      </c>
      <c r="BL475">
        <f t="shared" si="457"/>
        <v>7.0583832276420804</v>
      </c>
      <c r="BM475" s="43">
        <f t="shared" si="458"/>
        <v>-44.086181596348354</v>
      </c>
    </row>
    <row r="476" spans="14:65" x14ac:dyDescent="0.25">
      <c r="N476" s="9">
        <v>58</v>
      </c>
      <c r="O476" s="34">
        <f t="shared" si="408"/>
        <v>380189.39632056188</v>
      </c>
      <c r="P476" s="33" t="str">
        <f t="shared" si="411"/>
        <v>54,631621870174</v>
      </c>
      <c r="Q476" s="4" t="str">
        <f t="shared" si="412"/>
        <v>1+9520,8630462424i</v>
      </c>
      <c r="R476" s="4">
        <f t="shared" si="424"/>
        <v>9520.8630987586475</v>
      </c>
      <c r="S476" s="4">
        <f t="shared" si="425"/>
        <v>1.5706912943003144</v>
      </c>
      <c r="T476" s="4" t="str">
        <f t="shared" si="413"/>
        <v>1+119,440021445342i</v>
      </c>
      <c r="U476" s="4">
        <f t="shared" si="426"/>
        <v>119.44420757351006</v>
      </c>
      <c r="V476" s="4">
        <f t="shared" si="427"/>
        <v>1.5624241193624882</v>
      </c>
      <c r="W476" t="str">
        <f t="shared" si="414"/>
        <v>1-9,50584633486477i</v>
      </c>
      <c r="X476" s="4">
        <f t="shared" si="428"/>
        <v>9.5583008187680516</v>
      </c>
      <c r="Y476" s="4">
        <f t="shared" si="429"/>
        <v>-1.4659834185150076</v>
      </c>
      <c r="Z476" t="str">
        <f t="shared" si="415"/>
        <v>0,421824091701626+1,30602640272009i</v>
      </c>
      <c r="AA476" s="4">
        <f t="shared" si="430"/>
        <v>1.3724578423186196</v>
      </c>
      <c r="AB476" s="4">
        <f t="shared" si="431"/>
        <v>1.2583899776695882</v>
      </c>
      <c r="AC476" s="47" t="str">
        <f t="shared" si="432"/>
        <v>-4,37964209771828-1,89807512205775i</v>
      </c>
      <c r="AD476" s="20">
        <f t="shared" si="433"/>
        <v>13.576290965254195</v>
      </c>
      <c r="AE476" s="43">
        <f t="shared" si="434"/>
        <v>-156.56877165153355</v>
      </c>
      <c r="AF476" t="str">
        <f t="shared" si="416"/>
        <v>171,265703090588</v>
      </c>
      <c r="AG476" t="str">
        <f t="shared" si="417"/>
        <v>1+9429,74822088003i</v>
      </c>
      <c r="AH476">
        <f t="shared" si="435"/>
        <v>9429.748273903715</v>
      </c>
      <c r="AI476">
        <f t="shared" si="436"/>
        <v>1.5706902794251443</v>
      </c>
      <c r="AJ476" t="str">
        <f t="shared" si="418"/>
        <v>1+119,440021445342i</v>
      </c>
      <c r="AK476">
        <f t="shared" si="437"/>
        <v>119.44420757351006</v>
      </c>
      <c r="AL476">
        <f t="shared" si="438"/>
        <v>1.5624241193624882</v>
      </c>
      <c r="AM476" t="str">
        <f t="shared" si="419"/>
        <v>1-3,00322523916911i</v>
      </c>
      <c r="AN476">
        <f t="shared" si="439"/>
        <v>3.1653375550140552</v>
      </c>
      <c r="AO476">
        <f t="shared" si="440"/>
        <v>-1.2493679845406371</v>
      </c>
      <c r="AP476" s="41" t="str">
        <f t="shared" si="441"/>
        <v>2,115450184191-6,53284286975916i</v>
      </c>
      <c r="AQ476">
        <f t="shared" si="442"/>
        <v>16.735108527080733</v>
      </c>
      <c r="AR476" s="43">
        <f t="shared" si="443"/>
        <v>-72.057128657314252</v>
      </c>
      <c r="AS476" t="str">
        <f t="shared" si="420"/>
        <v>-0,0000166666666666667</v>
      </c>
      <c r="AT476" t="str">
        <f t="shared" si="421"/>
        <v>0,00791648462139724i</v>
      </c>
      <c r="AU476">
        <f t="shared" si="444"/>
        <v>7.9164846213972406E-3</v>
      </c>
      <c r="AV476">
        <f t="shared" si="445"/>
        <v>1.5707963267948966</v>
      </c>
      <c r="AW476" t="str">
        <f t="shared" si="422"/>
        <v>1+2,66415400882307i</v>
      </c>
      <c r="AX476">
        <f t="shared" si="446"/>
        <v>2.8456487103520058</v>
      </c>
      <c r="AY476">
        <f t="shared" si="447"/>
        <v>1.2117156206859223</v>
      </c>
      <c r="AZ476" t="str">
        <f t="shared" si="423"/>
        <v>1+630,643313231403i</v>
      </c>
      <c r="BA476">
        <f t="shared" si="448"/>
        <v>630.64410607210266</v>
      </c>
      <c r="BB476">
        <f t="shared" si="449"/>
        <v>1.5692106457278165</v>
      </c>
      <c r="BC476" s="41" t="str">
        <f t="shared" si="450"/>
        <v>-0,163267234174559+0,437074368005543i</v>
      </c>
      <c r="BD476">
        <f t="shared" si="451"/>
        <v>-6.621611357526529</v>
      </c>
      <c r="BE476" s="43">
        <f t="shared" si="452"/>
        <v>110.48295613182428</v>
      </c>
      <c r="BF476" s="41" t="str">
        <f t="shared" si="453"/>
        <v>1,54465203636936-1,60433582651678i</v>
      </c>
      <c r="BG476" s="20">
        <f t="shared" si="454"/>
        <v>6.9546796077276571</v>
      </c>
      <c r="BH476" s="43">
        <f t="shared" si="455"/>
        <v>-46.085815519709307</v>
      </c>
      <c r="BI476" s="41" t="str">
        <f t="shared" si="409"/>
        <v>2,50995446797258+1,99120823894506i</v>
      </c>
      <c r="BJ476" s="20">
        <f t="shared" si="456"/>
        <v>10.113497169554215</v>
      </c>
      <c r="BK476" s="43">
        <f t="shared" si="410"/>
        <v>38.425827474510044</v>
      </c>
      <c r="BL476">
        <f t="shared" si="457"/>
        <v>6.9546796077276571</v>
      </c>
      <c r="BM476" s="43">
        <f t="shared" si="458"/>
        <v>-46.085815519709307</v>
      </c>
    </row>
    <row r="477" spans="14:65" x14ac:dyDescent="0.25">
      <c r="N477" s="9">
        <v>59</v>
      </c>
      <c r="O477" s="34">
        <f t="shared" si="408"/>
        <v>389045.14499428123</v>
      </c>
      <c r="P477" s="33" t="str">
        <f t="shared" si="411"/>
        <v>54,631621870174</v>
      </c>
      <c r="Q477" s="4" t="str">
        <f t="shared" si="412"/>
        <v>1+9742,63243568464i</v>
      </c>
      <c r="R477" s="4">
        <f t="shared" si="424"/>
        <v>9742.6324870054705</v>
      </c>
      <c r="S477" s="4">
        <f t="shared" si="425"/>
        <v>1.5706936851317641</v>
      </c>
      <c r="T477" s="4" t="str">
        <f t="shared" si="413"/>
        <v>1+122,222136942881i</v>
      </c>
      <c r="U477" s="4">
        <f t="shared" si="426"/>
        <v>122.22622778636489</v>
      </c>
      <c r="V477" s="4">
        <f t="shared" si="427"/>
        <v>1.5626146854668383</v>
      </c>
      <c r="W477" t="str">
        <f t="shared" si="414"/>
        <v>1-9,72726594016481i</v>
      </c>
      <c r="X477" s="4">
        <f t="shared" si="428"/>
        <v>9.778532746311706</v>
      </c>
      <c r="Y477" s="4">
        <f t="shared" si="429"/>
        <v>-1.4683524023075971</v>
      </c>
      <c r="Z477" t="str">
        <f t="shared" si="415"/>
        <v>0,394575500625514+1,33644766563711i</v>
      </c>
      <c r="AA477" s="4">
        <f t="shared" si="430"/>
        <v>1.3934784493061796</v>
      </c>
      <c r="AB477" s="4">
        <f t="shared" si="431"/>
        <v>1.2837103528942611</v>
      </c>
      <c r="AC477" s="47" t="str">
        <f t="shared" si="432"/>
        <v>-4,46387803759559-1,79044389094603i</v>
      </c>
      <c r="AD477" s="20">
        <f t="shared" si="433"/>
        <v>13.64211239724847</v>
      </c>
      <c r="AE477" s="43">
        <f t="shared" si="434"/>
        <v>-158.14447341169944</v>
      </c>
      <c r="AF477" t="str">
        <f t="shared" si="416"/>
        <v>171,265703090588</v>
      </c>
      <c r="AG477" t="str">
        <f t="shared" si="417"/>
        <v>1+9649,39527339845i</v>
      </c>
      <c r="AH477">
        <f t="shared" si="435"/>
        <v>9649.3953252151696</v>
      </c>
      <c r="AI477">
        <f t="shared" si="436"/>
        <v>1.5706926933579726</v>
      </c>
      <c r="AJ477" t="str">
        <f t="shared" si="418"/>
        <v>1+122,222136942881i</v>
      </c>
      <c r="AK477">
        <f t="shared" si="437"/>
        <v>122.22622778636489</v>
      </c>
      <c r="AL477">
        <f t="shared" si="438"/>
        <v>1.5626146854668383</v>
      </c>
      <c r="AM477" t="str">
        <f t="shared" si="419"/>
        <v>1-3,07317934148245i</v>
      </c>
      <c r="AN477">
        <f t="shared" si="439"/>
        <v>3.2317845325631631</v>
      </c>
      <c r="AO477">
        <f t="shared" si="440"/>
        <v>-1.2562063789309199</v>
      </c>
      <c r="AP477" s="41" t="str">
        <f t="shared" si="441"/>
        <v>2,11545009857469-6,68418618266593i</v>
      </c>
      <c r="AQ477">
        <f t="shared" si="442"/>
        <v>16.915542180962198</v>
      </c>
      <c r="AR477" s="43">
        <f t="shared" si="443"/>
        <v>-72.438159469188889</v>
      </c>
      <c r="AS477" t="str">
        <f t="shared" si="420"/>
        <v>-0,0000166666666666667</v>
      </c>
      <c r="AT477" t="str">
        <f t="shared" si="421"/>
        <v>0,00810088323657415i</v>
      </c>
      <c r="AU477">
        <f t="shared" si="444"/>
        <v>8.1008832365741506E-3</v>
      </c>
      <c r="AV477">
        <f t="shared" si="445"/>
        <v>1.5707963267948966</v>
      </c>
      <c r="AW477" t="str">
        <f t="shared" si="422"/>
        <v>1+2,72621012758532i</v>
      </c>
      <c r="AX477">
        <f t="shared" si="446"/>
        <v>2.9038287931193136</v>
      </c>
      <c r="AY477">
        <f t="shared" si="447"/>
        <v>1.2192255594955299</v>
      </c>
      <c r="AZ477" t="str">
        <f t="shared" si="423"/>
        <v>1+645,332883058411i</v>
      </c>
      <c r="BA477">
        <f t="shared" si="448"/>
        <v>645.33365785187493</v>
      </c>
      <c r="BB477">
        <f t="shared" si="449"/>
        <v>1.5692467401771275</v>
      </c>
      <c r="BC477" s="41" t="str">
        <f t="shared" si="450"/>
        <v>-0,156790445381965+0,429501088936779i</v>
      </c>
      <c r="BD477">
        <f t="shared" si="451"/>
        <v>-6.7974062677520388</v>
      </c>
      <c r="BE477" s="43">
        <f t="shared" si="452"/>
        <v>110.05473639324155</v>
      </c>
      <c r="BF477" s="41" t="str">
        <f t="shared" si="453"/>
        <v>1,46889102648691-1,63651598293543i</v>
      </c>
      <c r="BG477" s="20">
        <f t="shared" si="454"/>
        <v>6.8447061294964309</v>
      </c>
      <c r="BH477" s="43">
        <f t="shared" si="455"/>
        <v>-48.089737018457825</v>
      </c>
      <c r="BI477" s="41" t="str">
        <f t="shared" si="409"/>
        <v>2,53918288097234+1,95660464952541i</v>
      </c>
      <c r="BJ477" s="20">
        <f t="shared" si="456"/>
        <v>10.118135913210152</v>
      </c>
      <c r="BK477" s="43">
        <f t="shared" si="410"/>
        <v>37.616576924052637</v>
      </c>
      <c r="BL477">
        <f t="shared" si="457"/>
        <v>6.8447061294964309</v>
      </c>
      <c r="BM477" s="43">
        <f t="shared" si="458"/>
        <v>-48.089737018457825</v>
      </c>
    </row>
    <row r="478" spans="14:65" x14ac:dyDescent="0.25">
      <c r="N478" s="9">
        <v>60</v>
      </c>
      <c r="O478" s="34">
        <f t="shared" si="408"/>
        <v>398107.17055349716</v>
      </c>
      <c r="P478" s="33" t="str">
        <f t="shared" si="411"/>
        <v>54,631621870174</v>
      </c>
      <c r="Q478" s="4" t="str">
        <f t="shared" si="412"/>
        <v>1+9969,56749780325i</v>
      </c>
      <c r="R478" s="4">
        <f t="shared" si="424"/>
        <v>9969.5675479558759</v>
      </c>
      <c r="S478" s="4">
        <f t="shared" si="425"/>
        <v>1.5706960215412469</v>
      </c>
      <c r="T478" s="4" t="str">
        <f t="shared" si="413"/>
        <v>1+125,069056235229i</v>
      </c>
      <c r="U478" s="4">
        <f t="shared" si="426"/>
        <v>125.07305396275758</v>
      </c>
      <c r="V478" s="4">
        <f t="shared" si="427"/>
        <v>1.5628009143312818</v>
      </c>
      <c r="W478" t="str">
        <f t="shared" si="414"/>
        <v>1-9,95384307062189i</v>
      </c>
      <c r="X478" s="4">
        <f t="shared" si="428"/>
        <v>10.003948814071741</v>
      </c>
      <c r="Y478" s="4">
        <f t="shared" si="429"/>
        <v>-1.4706685769634336</v>
      </c>
      <c r="Z478" t="str">
        <f t="shared" si="415"/>
        <v>0,366042723015554+1,36757753079642i</v>
      </c>
      <c r="AA478" s="4">
        <f t="shared" si="430"/>
        <v>1.4157173368338307</v>
      </c>
      <c r="AB478" s="4">
        <f t="shared" si="431"/>
        <v>1.3092688795401068</v>
      </c>
      <c r="AC478" s="47" t="str">
        <f t="shared" si="432"/>
        <v>-4,54323090585693-1,67779462727829i</v>
      </c>
      <c r="AD478" s="20">
        <f t="shared" si="433"/>
        <v>13.702528767636338</v>
      </c>
      <c r="AE478" s="43">
        <f t="shared" si="434"/>
        <v>-159.73103988992008</v>
      </c>
      <c r="AF478" t="str">
        <f t="shared" si="416"/>
        <v>171,265703090588</v>
      </c>
      <c r="AG478" t="str">
        <f t="shared" si="417"/>
        <v>1+9874,15856301564i</v>
      </c>
      <c r="AH478">
        <f t="shared" si="435"/>
        <v>9874.1586136528676</v>
      </c>
      <c r="AI478">
        <f t="shared" si="436"/>
        <v>1.5706950523429826</v>
      </c>
      <c r="AJ478" t="str">
        <f t="shared" si="418"/>
        <v>1+125,069056235229i</v>
      </c>
      <c r="AK478">
        <f t="shared" si="437"/>
        <v>125.07305396275758</v>
      </c>
      <c r="AL478">
        <f t="shared" si="438"/>
        <v>1.5628009143312818</v>
      </c>
      <c r="AM478" t="str">
        <f t="shared" si="419"/>
        <v>1-3,14476288416096i</v>
      </c>
      <c r="AN478">
        <f t="shared" si="439"/>
        <v>3.2999293322124883</v>
      </c>
      <c r="AO478">
        <f t="shared" si="440"/>
        <v>-1.2629186488348294</v>
      </c>
      <c r="AP478" s="41" t="str">
        <f t="shared" si="441"/>
        <v>2,11545001681175-6,83907353956161i</v>
      </c>
      <c r="AQ478">
        <f t="shared" si="442"/>
        <v>17.096773929449306</v>
      </c>
      <c r="AR478" s="43">
        <f t="shared" si="443"/>
        <v>-72.812209237564474</v>
      </c>
      <c r="AS478" t="str">
        <f t="shared" si="420"/>
        <v>-0,0000166666666666667</v>
      </c>
      <c r="AT478" t="str">
        <f t="shared" si="421"/>
        <v>0,00828957704727095i</v>
      </c>
      <c r="AU478">
        <f t="shared" si="444"/>
        <v>8.2895770472709504E-3</v>
      </c>
      <c r="AV478">
        <f t="shared" si="445"/>
        <v>1.5707963267948966</v>
      </c>
      <c r="AW478" t="str">
        <f t="shared" si="422"/>
        <v>1+2,78971171904288i</v>
      </c>
      <c r="AX478">
        <f t="shared" si="446"/>
        <v>2.9635268642894368</v>
      </c>
      <c r="AY478">
        <f t="shared" si="447"/>
        <v>1.2266047491995797</v>
      </c>
      <c r="AZ478" t="str">
        <f t="shared" si="423"/>
        <v>1+660,364616922006i</v>
      </c>
      <c r="BA478">
        <f t="shared" si="448"/>
        <v>660.36537407903791</v>
      </c>
      <c r="BB478">
        <f t="shared" si="449"/>
        <v>1.5692820130203657</v>
      </c>
      <c r="BC478" s="41" t="str">
        <f t="shared" si="450"/>
        <v>-0,150537212965127+0,421965984101426i</v>
      </c>
      <c r="BD478">
        <f t="shared" si="451"/>
        <v>-6.9741639621393867</v>
      </c>
      <c r="BE478" s="43">
        <f t="shared" si="452"/>
        <v>109.63396095202205</v>
      </c>
      <c r="BF478" s="41" t="str">
        <f t="shared" si="453"/>
        <v>1,3918975794443-1,66451837307159i</v>
      </c>
      <c r="BG478" s="20">
        <f t="shared" si="454"/>
        <v>6.7283648054969358</v>
      </c>
      <c r="BH478" s="43">
        <f t="shared" si="455"/>
        <v>-50.097078937897976</v>
      </c>
      <c r="BI478" s="41" t="str">
        <f t="shared" si="409"/>
        <v>2,56740244676527+1,9221830180705i</v>
      </c>
      <c r="BJ478" s="20">
        <f t="shared" si="456"/>
        <v>10.122609967309931</v>
      </c>
      <c r="BK478" s="43">
        <f t="shared" si="410"/>
        <v>36.821751714457527</v>
      </c>
      <c r="BL478">
        <f t="shared" si="457"/>
        <v>6.7283648054969358</v>
      </c>
      <c r="BM478" s="43">
        <f t="shared" si="458"/>
        <v>-50.097078937897976</v>
      </c>
    </row>
    <row r="479" spans="14:65" x14ac:dyDescent="0.25">
      <c r="N479" s="9">
        <v>61</v>
      </c>
      <c r="O479" s="34">
        <f t="shared" si="408"/>
        <v>407380.27780411334</v>
      </c>
      <c r="P479" s="33" t="str">
        <f t="shared" si="411"/>
        <v>54,631621870174</v>
      </c>
      <c r="Q479" s="4" t="str">
        <f t="shared" si="412"/>
        <v>1+10201,788556572i</v>
      </c>
      <c r="R479" s="4">
        <f t="shared" si="424"/>
        <v>10201.788605583013</v>
      </c>
      <c r="S479" s="4">
        <f t="shared" si="425"/>
        <v>1.5706983047675578</v>
      </c>
      <c r="T479" s="4" t="str">
        <f t="shared" si="413"/>
        <v>1+127,982288796677i</v>
      </c>
      <c r="U479" s="4">
        <f t="shared" si="426"/>
        <v>127.98619552762725</v>
      </c>
      <c r="V479" s="4">
        <f t="shared" si="427"/>
        <v>1.5629829046451287</v>
      </c>
      <c r="W479" t="str">
        <f t="shared" si="414"/>
        <v>1-10,1856978604297i</v>
      </c>
      <c r="X479" s="4">
        <f t="shared" si="428"/>
        <v>10.234668578120258</v>
      </c>
      <c r="Y479" s="4">
        <f t="shared" si="429"/>
        <v>-1.4729330710905288</v>
      </c>
      <c r="Z479" t="str">
        <f t="shared" si="415"/>
        <v>0,336165237024974+1,3994325036646i</v>
      </c>
      <c r="AA479" s="4">
        <f t="shared" si="430"/>
        <v>1.4392423002736641</v>
      </c>
      <c r="AB479" s="4">
        <f t="shared" si="431"/>
        <v>1.3350476884396076</v>
      </c>
      <c r="AC479" s="47" t="str">
        <f t="shared" si="432"/>
        <v>-4,61729571333248-1,56039816082903i</v>
      </c>
      <c r="AD479" s="20">
        <f t="shared" si="433"/>
        <v>13.757415445359804</v>
      </c>
      <c r="AE479" s="43">
        <f t="shared" si="434"/>
        <v>-161.327506339286</v>
      </c>
      <c r="AF479" t="str">
        <f t="shared" si="416"/>
        <v>171,265703090588</v>
      </c>
      <c r="AG479" t="str">
        <f t="shared" si="417"/>
        <v>1+10104,1572622029i</v>
      </c>
      <c r="AH479">
        <f t="shared" si="435"/>
        <v>10104.157311687482</v>
      </c>
      <c r="AI479">
        <f t="shared" si="436"/>
        <v>1.5706973576309391</v>
      </c>
      <c r="AJ479" t="str">
        <f t="shared" si="418"/>
        <v>1+127,982288796677i</v>
      </c>
      <c r="AK479">
        <f t="shared" si="437"/>
        <v>127.98619552762725</v>
      </c>
      <c r="AL479">
        <f t="shared" si="438"/>
        <v>1.5629829046451287</v>
      </c>
      <c r="AM479" t="str">
        <f t="shared" si="419"/>
        <v>1-3,21801382174653i</v>
      </c>
      <c r="AN479">
        <f t="shared" si="439"/>
        <v>3.3698090386476958</v>
      </c>
      <c r="AO479">
        <f t="shared" si="440"/>
        <v>-1.2695059329948584</v>
      </c>
      <c r="AP479" s="41" t="str">
        <f t="shared" si="441"/>
        <v>2,11544993872874-6,99758706377308i</v>
      </c>
      <c r="AQ479">
        <f t="shared" si="442"/>
        <v>17.27877446132258</v>
      </c>
      <c r="AR479" s="43">
        <f t="shared" si="443"/>
        <v>-73.179337624762326</v>
      </c>
      <c r="AS479" t="str">
        <f t="shared" si="420"/>
        <v>-0,0000166666666666667</v>
      </c>
      <c r="AT479" t="str">
        <f t="shared" si="421"/>
        <v>0,00848266610144376i</v>
      </c>
      <c r="AU479">
        <f t="shared" si="444"/>
        <v>8.4826661014437595E-3</v>
      </c>
      <c r="AV479">
        <f t="shared" si="445"/>
        <v>1.5707963267948966</v>
      </c>
      <c r="AW479" t="str">
        <f t="shared" si="422"/>
        <v>1+2,85469245258007i</v>
      </c>
      <c r="AX479">
        <f t="shared" si="446"/>
        <v>3.0247758592691816</v>
      </c>
      <c r="AY479">
        <f t="shared" si="447"/>
        <v>1.2338538868520035</v>
      </c>
      <c r="AZ479" t="str">
        <f t="shared" si="423"/>
        <v>1+675,746484846454i</v>
      </c>
      <c r="BA479">
        <f t="shared" si="448"/>
        <v>675.74722476850684</v>
      </c>
      <c r="BB479">
        <f t="shared" si="449"/>
        <v>1.569316482959308</v>
      </c>
      <c r="BC479" s="41" t="str">
        <f t="shared" si="450"/>
        <v>-0,144502450388366+0,414474845580158i</v>
      </c>
      <c r="BD479">
        <f t="shared" si="451"/>
        <v>-7.1518510064564778</v>
      </c>
      <c r="BE479" s="43">
        <f t="shared" si="452"/>
        <v>109.22059094145027</v>
      </c>
      <c r="BF479" s="41" t="str">
        <f t="shared" si="453"/>
        <v>1,31395633149742-1,68827156996011i</v>
      </c>
      <c r="BG479" s="20">
        <f t="shared" si="454"/>
        <v>6.6055644389033352</v>
      </c>
      <c r="BH479" s="43">
        <f t="shared" si="455"/>
        <v>-52.106915397835635</v>
      </c>
      <c r="BI479" s="41" t="str">
        <f t="shared" si="409"/>
        <v>2,59463611787084+1,88796926420829i</v>
      </c>
      <c r="BJ479" s="20">
        <f t="shared" si="456"/>
        <v>10.126923454866111</v>
      </c>
      <c r="BK479" s="43">
        <f t="shared" si="410"/>
        <v>36.041253316687914</v>
      </c>
      <c r="BL479">
        <f t="shared" si="457"/>
        <v>6.6055644389033352</v>
      </c>
      <c r="BM479" s="43">
        <f t="shared" si="458"/>
        <v>-52.106915397835635</v>
      </c>
    </row>
    <row r="480" spans="14:65" x14ac:dyDescent="0.25">
      <c r="N480" s="9">
        <v>62</v>
      </c>
      <c r="O480" s="34">
        <f t="shared" si="408"/>
        <v>416869.38347033598</v>
      </c>
      <c r="P480" s="33" t="str">
        <f t="shared" si="411"/>
        <v>54,631621870174</v>
      </c>
      <c r="Q480" s="4" t="str">
        <f t="shared" si="412"/>
        <v>1+10439,4187386702i</v>
      </c>
      <c r="R480" s="4">
        <f t="shared" si="424"/>
        <v>10439.418786565586</v>
      </c>
      <c r="S480" s="4">
        <f t="shared" si="425"/>
        <v>1.5707005360212938</v>
      </c>
      <c r="T480" s="4" t="str">
        <f t="shared" si="413"/>
        <v>1+130,963379261692i</v>
      </c>
      <c r="U480" s="4">
        <f t="shared" si="426"/>
        <v>130.96719706721137</v>
      </c>
      <c r="V480" s="4">
        <f t="shared" si="427"/>
        <v>1.5631607528538041</v>
      </c>
      <c r="W480" t="str">
        <f t="shared" si="414"/>
        <v>1-10,4229532420668i</v>
      </c>
      <c r="X480" s="4">
        <f t="shared" si="428"/>
        <v>10.470814404157435</v>
      </c>
      <c r="Y480" s="4">
        <f t="shared" si="429"/>
        <v>-1.4751469924052529</v>
      </c>
      <c r="Z480" t="str">
        <f t="shared" si="415"/>
        <v>0,304879668500245+1,4320294741699i</v>
      </c>
      <c r="AA480" s="4">
        <f t="shared" si="430"/>
        <v>1.4641243209359442</v>
      </c>
      <c r="AB480" s="4">
        <f t="shared" si="431"/>
        <v>1.3610278506458506</v>
      </c>
      <c r="AC480" s="47" t="str">
        <f t="shared" si="432"/>
        <v>-4,68568598765043-1,43856533783213i</v>
      </c>
      <c r="AD480" s="20">
        <f t="shared" si="433"/>
        <v>13.806656271185245</v>
      </c>
      <c r="AE480" s="43">
        <f t="shared" si="434"/>
        <v>-162.93284622194781</v>
      </c>
      <c r="AF480" t="str">
        <f t="shared" si="416"/>
        <v>171,265703090588</v>
      </c>
      <c r="AG480" t="str">
        <f t="shared" si="417"/>
        <v>1+10339,513319315i</v>
      </c>
      <c r="AH480">
        <f t="shared" si="435"/>
        <v>10339.513367673175</v>
      </c>
      <c r="AI480">
        <f t="shared" si="436"/>
        <v>1.5706996104441362</v>
      </c>
      <c r="AJ480" t="str">
        <f t="shared" si="418"/>
        <v>1+130,963379261692i</v>
      </c>
      <c r="AK480">
        <f t="shared" si="437"/>
        <v>130.96719706721137</v>
      </c>
      <c r="AL480">
        <f t="shared" si="438"/>
        <v>1.5631607528538041</v>
      </c>
      <c r="AM480" t="str">
        <f t="shared" si="419"/>
        <v>1-3,29297099285584i</v>
      </c>
      <c r="AN480">
        <f t="shared" si="439"/>
        <v>3.4414616022541904</v>
      </c>
      <c r="AO480">
        <f t="shared" si="440"/>
        <v>-1.2759694365590681</v>
      </c>
      <c r="AP480" s="41" t="str">
        <f t="shared" si="441"/>
        <v>2,11544986416004-7,15981080126907i</v>
      </c>
      <c r="AQ480">
        <f t="shared" si="442"/>
        <v>17.461515280097466</v>
      </c>
      <c r="AR480" s="43">
        <f t="shared" si="443"/>
        <v>-73.53960822479651</v>
      </c>
      <c r="AS480" t="str">
        <f t="shared" si="420"/>
        <v>-0,0000166666666666667</v>
      </c>
      <c r="AT480" t="str">
        <f t="shared" si="421"/>
        <v>0,00868025277746491i</v>
      </c>
      <c r="AU480">
        <f t="shared" si="444"/>
        <v>8.6802527774649096E-3</v>
      </c>
      <c r="AV480">
        <f t="shared" si="445"/>
        <v>1.5707963267948966</v>
      </c>
      <c r="AW480" t="str">
        <f t="shared" si="422"/>
        <v>1+2,92118678184195i</v>
      </c>
      <c r="AX480">
        <f t="shared" si="446"/>
        <v>3.0876094659798099</v>
      </c>
      <c r="AY480">
        <f t="shared" si="447"/>
        <v>1.2409737675546979</v>
      </c>
      <c r="AZ480" t="str">
        <f t="shared" si="423"/>
        <v>1+691,486642501731i</v>
      </c>
      <c r="BA480">
        <f t="shared" si="448"/>
        <v>691.48736558111943</v>
      </c>
      <c r="BB480">
        <f t="shared" si="449"/>
        <v>1.5693501682700448</v>
      </c>
      <c r="BC480" s="41" t="str">
        <f t="shared" si="450"/>
        <v>-0,138680973227108+0,407033092856011i</v>
      </c>
      <c r="BD480">
        <f t="shared" si="451"/>
        <v>-7.3304347435787811</v>
      </c>
      <c r="BE480" s="43">
        <f t="shared" si="452"/>
        <v>108.81458185268606</v>
      </c>
      <c r="BF480" s="41" t="str">
        <f t="shared" si="453"/>
        <v>1,23535919173725-1,70772761860408i</v>
      </c>
      <c r="BG480" s="20">
        <f t="shared" si="454"/>
        <v>6.4762215276064525</v>
      </c>
      <c r="BH480" s="43">
        <f t="shared" si="455"/>
        <v>-54.118264369261652</v>
      </c>
      <c r="BI480" s="41" t="str">
        <f t="shared" si="409"/>
        <v>2,62090728872956+1,85398763103284i</v>
      </c>
      <c r="BJ480" s="20">
        <f t="shared" si="456"/>
        <v>10.131080536518686</v>
      </c>
      <c r="BK480" s="43">
        <f t="shared" si="410"/>
        <v>35.274973627889459</v>
      </c>
      <c r="BL480">
        <f t="shared" si="457"/>
        <v>6.4762215276064525</v>
      </c>
      <c r="BM480" s="43">
        <f t="shared" si="458"/>
        <v>-54.118264369261652</v>
      </c>
    </row>
    <row r="481" spans="14:65" x14ac:dyDescent="0.25">
      <c r="N481" s="9">
        <v>63</v>
      </c>
      <c r="O481" s="34">
        <f t="shared" si="408"/>
        <v>426579.51880159322</v>
      </c>
      <c r="P481" s="33" t="str">
        <f t="shared" si="411"/>
        <v>54,631621870174</v>
      </c>
      <c r="Q481" s="4" t="str">
        <f t="shared" si="412"/>
        <v>1+10682,5840387656i</v>
      </c>
      <c r="R481" s="4">
        <f t="shared" si="424"/>
        <v>10682.584085570756</v>
      </c>
      <c r="S481" s="4">
        <f t="shared" si="425"/>
        <v>1.570702716485495</v>
      </c>
      <c r="T481" s="4" t="str">
        <f t="shared" si="413"/>
        <v>1+134,013908243896i</v>
      </c>
      <c r="U481" s="4">
        <f t="shared" si="426"/>
        <v>134.01763914799938</v>
      </c>
      <c r="V481" s="4">
        <f t="shared" si="427"/>
        <v>1.5633345532097536</v>
      </c>
      <c r="W481" t="str">
        <f t="shared" si="414"/>
        <v>1-10,665735011477i</v>
      </c>
      <c r="X481" s="4">
        <f t="shared" si="428"/>
        <v>10.712511532551378</v>
      </c>
      <c r="Y481" s="4">
        <f t="shared" si="429"/>
        <v>-1.4773114278988935</v>
      </c>
      <c r="Z481" t="str">
        <f t="shared" si="415"/>
        <v>0,272119656556002+1,46538572565755i</v>
      </c>
      <c r="AA481" s="4">
        <f t="shared" si="430"/>
        <v>1.4904376647297466</v>
      </c>
      <c r="AB481" s="4">
        <f t="shared" si="431"/>
        <v>1.3871894412464372</v>
      </c>
      <c r="AC481" s="47" t="str">
        <f t="shared" si="432"/>
        <v>-4,74803849361894-1,31264562080931i</v>
      </c>
      <c r="AD481" s="20">
        <f t="shared" si="433"/>
        <v>13.850144447768038</v>
      </c>
      <c r="AE481" s="43">
        <f t="shared" si="434"/>
        <v>-164.54597487204677</v>
      </c>
      <c r="AF481" t="str">
        <f t="shared" si="416"/>
        <v>171,265703090588</v>
      </c>
      <c r="AG481" t="str">
        <f t="shared" si="417"/>
        <v>1+10580,3515232485i</v>
      </c>
      <c r="AH481">
        <f t="shared" si="435"/>
        <v>10580.351570505909</v>
      </c>
      <c r="AI481">
        <f t="shared" si="436"/>
        <v>1.5707018119770453</v>
      </c>
      <c r="AJ481" t="str">
        <f t="shared" si="418"/>
        <v>1+134,013908243896i</v>
      </c>
      <c r="AK481">
        <f t="shared" si="437"/>
        <v>134.01763914799938</v>
      </c>
      <c r="AL481">
        <f t="shared" si="438"/>
        <v>1.5633345532097536</v>
      </c>
      <c r="AM481" t="str">
        <f t="shared" si="419"/>
        <v>1-3,36967414077318i</v>
      </c>
      <c r="AN481">
        <f t="shared" si="439"/>
        <v>3.5149258619486514</v>
      </c>
      <c r="AO481">
        <f t="shared" si="440"/>
        <v>-1.2823104255730968</v>
      </c>
      <c r="AP481" s="41" t="str">
        <f t="shared" si="441"/>
        <v>2,11544979294751-7,32583076522259i</v>
      </c>
      <c r="AQ481">
        <f t="shared" si="442"/>
        <v>17.644968702927585</v>
      </c>
      <c r="AR481" s="43">
        <f t="shared" si="443"/>
        <v>-73.893088244909492</v>
      </c>
      <c r="AS481" t="str">
        <f t="shared" si="420"/>
        <v>-0,0000166666666666667</v>
      </c>
      <c r="AT481" t="str">
        <f t="shared" si="421"/>
        <v>0,00888244183840539i</v>
      </c>
      <c r="AU481">
        <f t="shared" si="444"/>
        <v>8.8824418384053899E-3</v>
      </c>
      <c r="AV481">
        <f t="shared" si="445"/>
        <v>1.5707963267948966</v>
      </c>
      <c r="AW481" t="str">
        <f t="shared" si="422"/>
        <v>1+2,98922996300204i</v>
      </c>
      <c r="AX481">
        <f t="shared" si="446"/>
        <v>3.1520621459148259</v>
      </c>
      <c r="AY481">
        <f t="shared" si="447"/>
        <v>1.2479652780282786</v>
      </c>
      <c r="AZ481" t="str">
        <f t="shared" si="423"/>
        <v>1+707,593435527768i</v>
      </c>
      <c r="BA481">
        <f t="shared" si="448"/>
        <v>707.5941421478766</v>
      </c>
      <c r="BB481">
        <f t="shared" si="449"/>
        <v>1.5693830868126672</v>
      </c>
      <c r="BC481" s="41" t="str">
        <f t="shared" si="450"/>
        <v>-0,13306752073269+0,399645780988322i</v>
      </c>
      <c r="BD481">
        <f t="shared" si="451"/>
        <v>-7.5098833066512762</v>
      </c>
      <c r="BE481" s="43">
        <f t="shared" si="452"/>
        <v>108.41588390368845</v>
      </c>
      <c r="BF481" s="41" t="str">
        <f t="shared" si="453"/>
        <v>1,15640299497849-1,72286305358324i</v>
      </c>
      <c r="BG481" s="20">
        <f t="shared" si="454"/>
        <v>6.3402611411167715</v>
      </c>
      <c r="BH481" s="43">
        <f t="shared" si="455"/>
        <v>-56.130090968358239</v>
      </c>
      <c r="BI481" s="41" t="str">
        <f t="shared" si="409"/>
        <v>2,64623969837365+1,82026072187953i</v>
      </c>
      <c r="BJ481" s="20">
        <f t="shared" si="456"/>
        <v>10.135085396276313</v>
      </c>
      <c r="BK481" s="43">
        <f t="shared" si="410"/>
        <v>34.52279565877901</v>
      </c>
      <c r="BL481">
        <f t="shared" si="457"/>
        <v>6.3402611411167715</v>
      </c>
      <c r="BM481" s="43">
        <f t="shared" si="458"/>
        <v>-56.130090968358239</v>
      </c>
    </row>
    <row r="482" spans="14:65" x14ac:dyDescent="0.25">
      <c r="N482" s="9">
        <v>64</v>
      </c>
      <c r="O482" s="34">
        <f t="shared" si="408"/>
        <v>436515.83224016649</v>
      </c>
      <c r="P482" s="33" t="str">
        <f t="shared" si="411"/>
        <v>54,631621870174</v>
      </c>
      <c r="Q482" s="4" t="str">
        <f t="shared" si="412"/>
        <v>1+10931,413386319i</v>
      </c>
      <c r="R482" s="4">
        <f t="shared" si="424"/>
        <v>10931.413432058738</v>
      </c>
      <c r="S482" s="4">
        <f t="shared" si="425"/>
        <v>1.5707048473162719</v>
      </c>
      <c r="T482" s="4" t="str">
        <f t="shared" si="413"/>
        <v>1+137,135493174134i</v>
      </c>
      <c r="U482" s="4">
        <f t="shared" si="426"/>
        <v>137.13913915477579</v>
      </c>
      <c r="V482" s="4">
        <f t="shared" si="427"/>
        <v>1.5635043978222027</v>
      </c>
      <c r="W482" t="str">
        <f t="shared" si="414"/>
        <v>1-10,9141718947678i</v>
      </c>
      <c r="X482" s="4">
        <f t="shared" si="428"/>
        <v>10.95988814489178</v>
      </c>
      <c r="Y482" s="4">
        <f t="shared" si="429"/>
        <v>-1.4794274440198454</v>
      </c>
      <c r="Z482" t="str">
        <f t="shared" si="415"/>
        <v>0,2378157128147+1,49951894405361i</v>
      </c>
      <c r="AA482" s="4">
        <f t="shared" si="430"/>
        <v>1.5182599832825794</v>
      </c>
      <c r="AB482" s="4">
        <f t="shared" si="431"/>
        <v>1.4135116153197504</v>
      </c>
      <c r="AC482" s="47" t="str">
        <f t="shared" si="432"/>
        <v>-4,80401784727517-1,18302504002649i</v>
      </c>
      <c r="AD482" s="20">
        <f t="shared" si="433"/>
        <v>13.887783384587104</v>
      </c>
      <c r="AE482" s="43">
        <f t="shared" si="434"/>
        <v>-166.16575385531246</v>
      </c>
      <c r="AF482" t="str">
        <f t="shared" si="416"/>
        <v>171,265703090588</v>
      </c>
      <c r="AG482" t="str">
        <f t="shared" si="417"/>
        <v>1+10826,7995696072i</v>
      </c>
      <c r="AH482">
        <f t="shared" si="435"/>
        <v>10826.799615788897</v>
      </c>
      <c r="AI482">
        <f t="shared" si="436"/>
        <v>1.5707039633969482</v>
      </c>
      <c r="AJ482" t="str">
        <f t="shared" si="418"/>
        <v>1+137,135493174134i</v>
      </c>
      <c r="AK482">
        <f t="shared" si="437"/>
        <v>137.13913915477579</v>
      </c>
      <c r="AL482">
        <f t="shared" si="438"/>
        <v>1.5635043978222027</v>
      </c>
      <c r="AM482" t="str">
        <f t="shared" si="419"/>
        <v>1-3,44816393452286i</v>
      </c>
      <c r="AN482">
        <f t="shared" si="439"/>
        <v>3.5902415683828535</v>
      </c>
      <c r="AO482">
        <f t="shared" si="440"/>
        <v>-1.2885302216767271</v>
      </c>
      <c r="AP482" s="41" t="str">
        <f t="shared" si="441"/>
        <v>2,11544972494004-7,49573498161596i</v>
      </c>
      <c r="AQ482">
        <f t="shared" si="442"/>
        <v>17.829107857394966</v>
      </c>
      <c r="AR482" s="43">
        <f t="shared" si="443"/>
        <v>-74.239848198893483</v>
      </c>
      <c r="AS482" t="str">
        <f t="shared" si="420"/>
        <v>-0,0000166666666666667</v>
      </c>
      <c r="AT482" t="str">
        <f t="shared" si="421"/>
        <v>0,00908934048758161i</v>
      </c>
      <c r="AU482">
        <f t="shared" si="444"/>
        <v>9.0893404875816101E-3</v>
      </c>
      <c r="AV482">
        <f t="shared" si="445"/>
        <v>1.5707963267948966</v>
      </c>
      <c r="AW482" t="str">
        <f t="shared" si="422"/>
        <v>1+3,05885807345564i</v>
      </c>
      <c r="AX482">
        <f t="shared" si="446"/>
        <v>3.2181691555206902</v>
      </c>
      <c r="AY482">
        <f t="shared" si="447"/>
        <v>1.2548293903336718</v>
      </c>
      <c r="AZ482" t="str">
        <f t="shared" si="423"/>
        <v>1+724,075403959427i</v>
      </c>
      <c r="BA482">
        <f t="shared" si="448"/>
        <v>724.07609449491383</v>
      </c>
      <c r="BB482">
        <f t="shared" si="449"/>
        <v>1.5694152560407373</v>
      </c>
      <c r="BC482" s="41" t="str">
        <f t="shared" si="450"/>
        <v>-0,127656776028941+0,392317609710372i</v>
      </c>
      <c r="BD482">
        <f t="shared" si="451"/>
        <v>-7.6901656290913571</v>
      </c>
      <c r="BE482" s="43">
        <f t="shared" si="452"/>
        <v>108.02444239948426</v>
      </c>
      <c r="BF482" s="41" t="str">
        <f t="shared" si="453"/>
        <v>1,07738698629935-1,73367963627767i</v>
      </c>
      <c r="BG482" s="20">
        <f t="shared" si="454"/>
        <v>6.1976177554957417</v>
      </c>
      <c r="BH482" s="43">
        <f t="shared" si="455"/>
        <v>-58.14131145582823</v>
      </c>
      <c r="BI482" s="41" t="str">
        <f t="shared" si="409"/>
        <v>2,67065733927284+1,78680954127139i</v>
      </c>
      <c r="BJ482" s="20">
        <f t="shared" si="456"/>
        <v>10.138942228303618</v>
      </c>
      <c r="BK482" s="43">
        <f t="shared" si="410"/>
        <v>33.784594200590796</v>
      </c>
      <c r="BL482">
        <f t="shared" si="457"/>
        <v>6.1976177554957417</v>
      </c>
      <c r="BM482" s="43">
        <f t="shared" si="458"/>
        <v>-58.14131145582823</v>
      </c>
    </row>
    <row r="483" spans="14:65" x14ac:dyDescent="0.25">
      <c r="N483" s="9">
        <v>65</v>
      </c>
      <c r="O483" s="34">
        <f t="shared" si="408"/>
        <v>446683.59215096442</v>
      </c>
      <c r="P483" s="33" t="str">
        <f t="shared" si="411"/>
        <v>54,631621870174</v>
      </c>
      <c r="Q483" s="4" t="str">
        <f t="shared" si="412"/>
        <v>1+11186,0387139443i</v>
      </c>
      <c r="R483" s="4">
        <f t="shared" si="424"/>
        <v>11186.038758642875</v>
      </c>
      <c r="S483" s="4">
        <f t="shared" si="425"/>
        <v>1.5707069296434197</v>
      </c>
      <c r="T483" s="4" t="str">
        <f t="shared" si="413"/>
        <v>1+140,329789158057i</v>
      </c>
      <c r="U483" s="4">
        <f t="shared" si="426"/>
        <v>140.3333521481787</v>
      </c>
      <c r="V483" s="4">
        <f t="shared" si="427"/>
        <v>1.5636703767057949</v>
      </c>
      <c r="W483" t="str">
        <f t="shared" si="414"/>
        <v>1-11,1683956164635i</v>
      </c>
      <c r="X483" s="4">
        <f t="shared" si="428"/>
        <v>11.213075432094493</v>
      </c>
      <c r="Y483" s="4">
        <f t="shared" si="429"/>
        <v>-1.481496086869913</v>
      </c>
      <c r="Z483" t="str">
        <f t="shared" si="415"/>
        <v>0,201895074012441+1,5344472272423i</v>
      </c>
      <c r="AA483" s="4">
        <f t="shared" si="430"/>
        <v>1.5476724182145496</v>
      </c>
      <c r="AB483" s="4">
        <f t="shared" si="431"/>
        <v>1.4399726955471868</v>
      </c>
      <c r="AC483" s="47" t="str">
        <f t="shared" si="432"/>
        <v>-4,85332092154359-1,05012350232694i</v>
      </c>
      <c r="AD483" s="20">
        <f t="shared" si="433"/>
        <v>13.919487483199593</v>
      </c>
      <c r="AE483" s="43">
        <f t="shared" si="434"/>
        <v>-167.79099599736944</v>
      </c>
      <c r="AF483" t="str">
        <f t="shared" si="416"/>
        <v>171,265703090588</v>
      </c>
      <c r="AG483" t="str">
        <f t="shared" si="417"/>
        <v>1+11078,9881284073i</v>
      </c>
      <c r="AH483">
        <f t="shared" si="435"/>
        <v>11078.988173537775</v>
      </c>
      <c r="AI483">
        <f t="shared" si="436"/>
        <v>1.5707060658445557</v>
      </c>
      <c r="AJ483" t="str">
        <f t="shared" si="418"/>
        <v>1+140,329789158057i</v>
      </c>
      <c r="AK483">
        <f t="shared" si="437"/>
        <v>140.3333521481787</v>
      </c>
      <c r="AL483">
        <f t="shared" si="438"/>
        <v>1.5636703767057949</v>
      </c>
      <c r="AM483" t="str">
        <f t="shared" si="419"/>
        <v>1-3,52848199043248i</v>
      </c>
      <c r="AN483">
        <f t="shared" si="439"/>
        <v>3.6674494075319366</v>
      </c>
      <c r="AO483">
        <f t="shared" si="440"/>
        <v>-1.2946301970094398</v>
      </c>
      <c r="AP483" s="41" t="str">
        <f t="shared" si="441"/>
        <v>2,11544965999344-7,66961353591391i</v>
      </c>
      <c r="AQ483">
        <f t="shared" si="442"/>
        <v>18.013906676374127</v>
      </c>
      <c r="AR483" s="43">
        <f t="shared" si="443"/>
        <v>-74.579961612448244</v>
      </c>
      <c r="AS483" t="str">
        <f t="shared" si="420"/>
        <v>-0,0000166666666666667</v>
      </c>
      <c r="AT483" t="str">
        <f t="shared" si="421"/>
        <v>0,00930105842539601i</v>
      </c>
      <c r="AU483">
        <f t="shared" si="444"/>
        <v>9.3010584253960093E-3</v>
      </c>
      <c r="AV483">
        <f t="shared" si="445"/>
        <v>1.5707963267948966</v>
      </c>
      <c r="AW483" t="str">
        <f t="shared" si="422"/>
        <v>1+3,13010803094857i</v>
      </c>
      <c r="AX483">
        <f t="shared" si="446"/>
        <v>3.2859665679079471</v>
      </c>
      <c r="AY483">
        <f t="shared" si="447"/>
        <v>1.261567155759409</v>
      </c>
      <c r="AZ483" t="str">
        <f t="shared" si="423"/>
        <v>1+740,941286754541i</v>
      </c>
      <c r="BA483">
        <f t="shared" si="448"/>
        <v>740.94196157153567</v>
      </c>
      <c r="BB483">
        <f t="shared" si="449"/>
        <v>1.5694466930105389</v>
      </c>
      <c r="BC483" s="41" t="str">
        <f t="shared" si="450"/>
        <v>-0,122443384945385+0,385052933313519i</v>
      </c>
      <c r="BD483">
        <f t="shared" si="451"/>
        <v>-7.871251451639889</v>
      </c>
      <c r="BE483" s="43">
        <f t="shared" si="452"/>
        <v>107.64019808293054</v>
      </c>
      <c r="BF483" s="41" t="str">
        <f t="shared" si="453"/>
        <v>0,998610176772507-1,74020478091662i</v>
      </c>
      <c r="BG483" s="20">
        <f t="shared" si="454"/>
        <v>6.0482360315597159</v>
      </c>
      <c r="BH483" s="43">
        <f t="shared" si="455"/>
        <v>-60.150797914438947</v>
      </c>
      <c r="BI483" s="41" t="str">
        <f t="shared" si="409"/>
        <v>2,69418437233356+1,7536535394178i</v>
      </c>
      <c r="BJ483" s="20">
        <f t="shared" si="456"/>
        <v>10.142655224734234</v>
      </c>
      <c r="BK483" s="43">
        <f t="shared" si="410"/>
        <v>33.060236470482259</v>
      </c>
      <c r="BL483">
        <f t="shared" si="457"/>
        <v>6.0482360315597159</v>
      </c>
      <c r="BM483" s="43">
        <f t="shared" si="458"/>
        <v>-60.150797914438947</v>
      </c>
    </row>
    <row r="484" spans="14:65" x14ac:dyDescent="0.25">
      <c r="N484" s="9">
        <v>66</v>
      </c>
      <c r="O484" s="34">
        <f t="shared" ref="O484:O518" si="459">10^(5+(N484/100))</f>
        <v>457088.18961487547</v>
      </c>
      <c r="P484" s="33" t="str">
        <f t="shared" si="411"/>
        <v>54,631621870174</v>
      </c>
      <c r="Q484" s="4" t="str">
        <f t="shared" si="412"/>
        <v>1+11446,5950273604i</v>
      </c>
      <c r="R484" s="4">
        <f t="shared" si="424"/>
        <v>11446.595071041511</v>
      </c>
      <c r="S484" s="4">
        <f t="shared" si="425"/>
        <v>1.5707089645710155</v>
      </c>
      <c r="T484" s="4" t="str">
        <f t="shared" si="413"/>
        <v>1+143,598489853675i</v>
      </c>
      <c r="U484" s="4">
        <f t="shared" si="426"/>
        <v>143.60197174222924</v>
      </c>
      <c r="V484" s="4">
        <f t="shared" si="427"/>
        <v>1.5638325778281295</v>
      </c>
      <c r="W484" t="str">
        <f t="shared" si="414"/>
        <v>1-11,4285409693462i</v>
      </c>
      <c r="X484" s="4">
        <f t="shared" si="428"/>
        <v>11.472207664090838</v>
      </c>
      <c r="Y484" s="4">
        <f t="shared" si="429"/>
        <v>-1.4835183824132776</v>
      </c>
      <c r="Z484" t="str">
        <f t="shared" si="415"/>
        <v>0,164281547658382+1,57018909466168i</v>
      </c>
      <c r="AA484" s="4">
        <f t="shared" si="430"/>
        <v>1.5787597093590586</v>
      </c>
      <c r="AB484" s="4">
        <f t="shared" si="431"/>
        <v>1.466550270729565</v>
      </c>
      <c r="AC484" s="47" t="str">
        <f t="shared" si="432"/>
        <v>-4,89568094091573-0,914391481267775i</v>
      </c>
      <c r="AD484" s="20">
        <f t="shared" si="433"/>
        <v>13.945182848689111</v>
      </c>
      <c r="AE484" s="43">
        <f t="shared" si="434"/>
        <v>-169.42047103759515</v>
      </c>
      <c r="AF484" t="str">
        <f t="shared" si="416"/>
        <v>171,265703090588</v>
      </c>
      <c r="AG484" t="str">
        <f t="shared" si="417"/>
        <v>1+11337,0509133609i</v>
      </c>
      <c r="AH484">
        <f t="shared" si="435"/>
        <v>11337.05095746408</v>
      </c>
      <c r="AI484">
        <f t="shared" si="436"/>
        <v>1.5707081204346141</v>
      </c>
      <c r="AJ484" t="str">
        <f t="shared" si="418"/>
        <v>1+143,598489853675i</v>
      </c>
      <c r="AK484">
        <f t="shared" si="437"/>
        <v>143.60197174222924</v>
      </c>
      <c r="AL484">
        <f t="shared" si="438"/>
        <v>1.5638325778281295</v>
      </c>
      <c r="AM484" t="str">
        <f t="shared" si="419"/>
        <v>1-3,6106708941984i</v>
      </c>
      <c r="AN484">
        <f t="shared" si="439"/>
        <v>3.7465910246798324</v>
      </c>
      <c r="AO484">
        <f t="shared" si="440"/>
        <v>-1.3006117693278085</v>
      </c>
      <c r="AP484" s="41" t="str">
        <f t="shared" si="441"/>
        <v>2,11544959796989-7,84755862082729i</v>
      </c>
      <c r="AQ484">
        <f t="shared" si="442"/>
        <v>18.199339891145822</v>
      </c>
      <c r="AR484" s="43">
        <f t="shared" si="443"/>
        <v>-74.913504740739967</v>
      </c>
      <c r="AS484" t="str">
        <f t="shared" si="420"/>
        <v>-0,0000166666666666667</v>
      </c>
      <c r="AT484" t="str">
        <f t="shared" si="421"/>
        <v>0,00951770790750159i</v>
      </c>
      <c r="AU484">
        <f t="shared" si="444"/>
        <v>9.5177079075015898E-3</v>
      </c>
      <c r="AV484">
        <f t="shared" si="445"/>
        <v>1.5707963267948966</v>
      </c>
      <c r="AW484" t="str">
        <f t="shared" si="422"/>
        <v>1+3,20301761315137i</v>
      </c>
      <c r="AX484">
        <f t="shared" si="446"/>
        <v>3.355491294901225</v>
      </c>
      <c r="AY484">
        <f t="shared" si="447"/>
        <v>1.2681796988871776</v>
      </c>
      <c r="AZ484" t="str">
        <f t="shared" si="423"/>
        <v>1+758,200026427404i</v>
      </c>
      <c r="BA484">
        <f t="shared" si="448"/>
        <v>758.20068588370214</v>
      </c>
      <c r="BB484">
        <f t="shared" si="449"/>
        <v>1.5694774143901207</v>
      </c>
      <c r="BC484" s="41" t="str">
        <f t="shared" si="450"/>
        <v>-0,117421973502015+0,377855771188706i</v>
      </c>
      <c r="BD484">
        <f t="shared" si="451"/>
        <v>-8.0531113266652206</v>
      </c>
      <c r="BE484" s="43">
        <f t="shared" si="452"/>
        <v>107.26308747525201</v>
      </c>
      <c r="BF484" s="41" t="str">
        <f t="shared" si="453"/>
        <v>0,920368616041345-1,74249164513967i</v>
      </c>
      <c r="BG484" s="20">
        <f t="shared" si="454"/>
        <v>5.8920715220238895</v>
      </c>
      <c r="BH484" s="43">
        <f t="shared" si="455"/>
        <v>-62.157383562343142</v>
      </c>
      <c r="BI484" s="41" t="str">
        <f t="shared" si="409"/>
        <v>2,71684504798361+1,72081065968204i</v>
      </c>
      <c r="BJ484" s="20">
        <f t="shared" si="456"/>
        <v>10.146228564480611</v>
      </c>
      <c r="BK484" s="43">
        <f t="shared" si="410"/>
        <v>32.349582734511962</v>
      </c>
      <c r="BL484">
        <f t="shared" si="457"/>
        <v>5.8920715220238895</v>
      </c>
      <c r="BM484" s="43">
        <f t="shared" si="458"/>
        <v>-62.157383562343142</v>
      </c>
    </row>
    <row r="485" spans="14:65" x14ac:dyDescent="0.25">
      <c r="N485" s="9">
        <v>67</v>
      </c>
      <c r="O485" s="34">
        <f t="shared" si="459"/>
        <v>467735.14128719864</v>
      </c>
      <c r="P485" s="33" t="str">
        <f t="shared" si="411"/>
        <v>54,631621870174</v>
      </c>
      <c r="Q485" s="4" t="str">
        <f t="shared" si="412"/>
        <v>1+11713,2204769736i</v>
      </c>
      <c r="R485" s="4">
        <f t="shared" si="424"/>
        <v>11713.220519660408</v>
      </c>
      <c r="S485" s="4">
        <f t="shared" si="425"/>
        <v>1.5707109531780048</v>
      </c>
      <c r="T485" s="4" t="str">
        <f t="shared" si="413"/>
        <v>1+146,943328369364i</v>
      </c>
      <c r="U485" s="4">
        <f t="shared" si="426"/>
        <v>146.94673100231503</v>
      </c>
      <c r="V485" s="4">
        <f t="shared" si="427"/>
        <v>1.5639910871562299</v>
      </c>
      <c r="W485" t="str">
        <f t="shared" si="414"/>
        <v>1-11,6947458859254i</v>
      </c>
      <c r="X485" s="4">
        <f t="shared" si="428"/>
        <v>11.737422261142736</v>
      </c>
      <c r="Y485" s="4">
        <f t="shared" si="429"/>
        <v>-1.4854953366968258</v>
      </c>
      <c r="Z485" t="str">
        <f t="shared" si="415"/>
        <v>0,124895350420179+1,60676349712296i</v>
      </c>
      <c r="AA485" s="4">
        <f t="shared" si="430"/>
        <v>1.6116103078112227</v>
      </c>
      <c r="AB485" s="4">
        <f t="shared" si="431"/>
        <v>1.4932213041958662</v>
      </c>
      <c r="AC485" s="47" t="str">
        <f t="shared" si="432"/>
        <v>-4,93087116566575-0,776306131001687i</v>
      </c>
      <c r="AD485" s="20">
        <f t="shared" si="433"/>
        <v>13.964807914026236</v>
      </c>
      <c r="AE485" s="43">
        <f t="shared" si="434"/>
        <v>-171.05291185047795</v>
      </c>
      <c r="AF485" t="str">
        <f t="shared" si="416"/>
        <v>171,265703090588</v>
      </c>
      <c r="AG485" t="str">
        <f t="shared" si="417"/>
        <v>1+11601,1247527723i</v>
      </c>
      <c r="AH485">
        <f t="shared" si="435"/>
        <v>11601.12479587157</v>
      </c>
      <c r="AI485">
        <f t="shared" si="436"/>
        <v>1.5707101282564933</v>
      </c>
      <c r="AJ485" t="str">
        <f t="shared" si="418"/>
        <v>1+146,943328369364i</v>
      </c>
      <c r="AK485">
        <f t="shared" si="437"/>
        <v>146.94673100231503</v>
      </c>
      <c r="AL485">
        <f t="shared" si="438"/>
        <v>1.5639910871562299</v>
      </c>
      <c r="AM485" t="str">
        <f t="shared" si="419"/>
        <v>1-3,6947742234653i</v>
      </c>
      <c r="AN485">
        <f t="shared" si="439"/>
        <v>3.8277090488154415</v>
      </c>
      <c r="AO485">
        <f t="shared" si="440"/>
        <v>-1.3064763973362179</v>
      </c>
      <c r="AP485" s="41" t="str">
        <f t="shared" si="441"/>
        <v>2,11544953873787-8,0296645851957i</v>
      </c>
      <c r="AQ485">
        <f t="shared" si="442"/>
        <v>18.385383022934853</v>
      </c>
      <c r="AR485" s="43">
        <f t="shared" si="443"/>
        <v>-75.240556298242154</v>
      </c>
      <c r="AS485" t="str">
        <f t="shared" si="420"/>
        <v>-0,0000166666666666667</v>
      </c>
      <c r="AT485" t="str">
        <f t="shared" si="421"/>
        <v>0,0097394038043215i</v>
      </c>
      <c r="AU485">
        <f t="shared" si="444"/>
        <v>9.7394038043215007E-3</v>
      </c>
      <c r="AV485">
        <f t="shared" si="445"/>
        <v>1.5707963267948966</v>
      </c>
      <c r="AW485" t="str">
        <f t="shared" si="422"/>
        <v>1+3,27762547768963i</v>
      </c>
      <c r="AX485">
        <f t="shared" si="446"/>
        <v>3.4267811094378606</v>
      </c>
      <c r="AY485">
        <f t="shared" si="447"/>
        <v>1.2746682118460264</v>
      </c>
      <c r="AZ485" t="str">
        <f t="shared" si="423"/>
        <v>1+775,860773790244i</v>
      </c>
      <c r="BA485">
        <f t="shared" si="448"/>
        <v>775.86141823549656</v>
      </c>
      <c r="BB485">
        <f t="shared" si="449"/>
        <v>1.5695074364681327</v>
      </c>
      <c r="BC485" s="41" t="str">
        <f t="shared" si="450"/>
        <v>-0,112587164069349+0,370729818904601i</v>
      </c>
      <c r="BD485">
        <f t="shared" si="451"/>
        <v>-8.2357166199228313</v>
      </c>
      <c r="BE485" s="43">
        <f t="shared" si="452"/>
        <v>106.8930432057563</v>
      </c>
      <c r="BF485" s="41" t="str">
        <f t="shared" si="453"/>
        <v>0,842952632294419-1,74061886855005i</v>
      </c>
      <c r="BG485" s="20">
        <f t="shared" si="454"/>
        <v>5.7290912941033874</v>
      </c>
      <c r="BH485" s="43">
        <f t="shared" si="455"/>
        <v>-64.159868644721598</v>
      </c>
      <c r="BI485" s="41" t="str">
        <f t="shared" si="409"/>
        <v>2,73866363323598+1,68829738847338i</v>
      </c>
      <c r="BJ485" s="20">
        <f t="shared" si="456"/>
        <v>10.149666403012015</v>
      </c>
      <c r="BK485" s="43">
        <f t="shared" si="410"/>
        <v>31.652486907514142</v>
      </c>
      <c r="BL485">
        <f t="shared" si="457"/>
        <v>5.7290912941033874</v>
      </c>
      <c r="BM485" s="43">
        <f t="shared" si="458"/>
        <v>-64.159868644721598</v>
      </c>
    </row>
    <row r="486" spans="14:65" x14ac:dyDescent="0.25">
      <c r="N486" s="9">
        <v>68</v>
      </c>
      <c r="O486" s="34">
        <f t="shared" si="459"/>
        <v>478630.09232263872</v>
      </c>
      <c r="P486" s="33" t="str">
        <f t="shared" si="411"/>
        <v>54,631621870174</v>
      </c>
      <c r="Q486" s="4" t="str">
        <f t="shared" si="412"/>
        <v>1+11986,0564311266i</v>
      </c>
      <c r="R486" s="4">
        <f t="shared" si="424"/>
        <v>11986.056472841738</v>
      </c>
      <c r="S486" s="4">
        <f t="shared" si="425"/>
        <v>1.5707128965187731</v>
      </c>
      <c r="T486" s="4" t="str">
        <f t="shared" si="413"/>
        <v>1+150,366078182781i</v>
      </c>
      <c r="U486" s="4">
        <f t="shared" si="426"/>
        <v>150.36940336408267</v>
      </c>
      <c r="V486" s="4">
        <f t="shared" si="427"/>
        <v>1.5641459887019611</v>
      </c>
      <c r="W486" t="str">
        <f t="shared" si="414"/>
        <v>1-11,9671515115717i</v>
      </c>
      <c r="X486" s="4">
        <f t="shared" si="428"/>
        <v>12.008859866819698</v>
      </c>
      <c r="Y486" s="4">
        <f t="shared" si="429"/>
        <v>-1.4874279360805791</v>
      </c>
      <c r="Z486" t="str">
        <f t="shared" si="415"/>
        <v>0,08365293889289+1,64418982685844i</v>
      </c>
      <c r="AA486" s="4">
        <f t="shared" si="430"/>
        <v>1.6463164947634477</v>
      </c>
      <c r="AB486" s="4">
        <f t="shared" si="431"/>
        <v>1.5199622508465758</v>
      </c>
      <c r="AC486" s="47" t="str">
        <f t="shared" si="432"/>
        <v>-4,95870807294956-0,63636688439595i</v>
      </c>
      <c r="AD486" s="20">
        <f t="shared" si="433"/>
        <v>13.978313965305386</v>
      </c>
      <c r="AE486" s="43">
        <f t="shared" si="434"/>
        <v>-172.68702116234053</v>
      </c>
      <c r="AF486" t="str">
        <f t="shared" si="416"/>
        <v>171,265703090588</v>
      </c>
      <c r="AG486" t="str">
        <f t="shared" si="417"/>
        <v>1+11871,3496620867i</v>
      </c>
      <c r="AH486">
        <f t="shared" si="435"/>
        <v>11871.349704204909</v>
      </c>
      <c r="AI486">
        <f t="shared" si="436"/>
        <v>1.5707120903747676</v>
      </c>
      <c r="AJ486" t="str">
        <f t="shared" si="418"/>
        <v>1+150,366078182781i</v>
      </c>
      <c r="AK486">
        <f t="shared" si="437"/>
        <v>150.36940336408267</v>
      </c>
      <c r="AL486">
        <f t="shared" si="438"/>
        <v>1.5641459887019611</v>
      </c>
      <c r="AM486" t="str">
        <f t="shared" si="419"/>
        <v>1-3,78083657093161i</v>
      </c>
      <c r="AN486">
        <f t="shared" si="439"/>
        <v>3.9108471174534416</v>
      </c>
      <c r="AO486">
        <f t="shared" si="440"/>
        <v>-1.3122255762310877</v>
      </c>
      <c r="AP486" s="41" t="str">
        <f t="shared" si="441"/>
        <v>2,11544948217175-8,21602798401197i</v>
      </c>
      <c r="AQ486">
        <f t="shared" si="442"/>
        <v>18.572012373031583</v>
      </c>
      <c r="AR486" s="43">
        <f t="shared" si="443"/>
        <v>-75.561197200869401</v>
      </c>
      <c r="AS486" t="str">
        <f t="shared" si="420"/>
        <v>-0,0000166666666666667</v>
      </c>
      <c r="AT486" t="str">
        <f t="shared" si="421"/>
        <v>0,0099662636619547i</v>
      </c>
      <c r="AU486">
        <f t="shared" si="444"/>
        <v>9.9662636619547006E-3</v>
      </c>
      <c r="AV486">
        <f t="shared" si="445"/>
        <v>1.5707963267948966</v>
      </c>
      <c r="AW486" t="str">
        <f t="shared" si="422"/>
        <v>1+3,35397118264066i</v>
      </c>
      <c r="AX486">
        <f t="shared" si="446"/>
        <v>3.4998746683251367</v>
      </c>
      <c r="AY486">
        <f t="shared" si="447"/>
        <v>1.2810339487635487</v>
      </c>
      <c r="AZ486" t="str">
        <f t="shared" si="423"/>
        <v>1+793,932892805081i</v>
      </c>
      <c r="BA486">
        <f t="shared" si="448"/>
        <v>793.93352258098048</v>
      </c>
      <c r="BB486">
        <f t="shared" si="449"/>
        <v>1.5695367751624616</v>
      </c>
      <c r="BC486" s="41" t="str">
        <f t="shared" si="450"/>
        <v>-0,107933590235062+0,363678459710236i</v>
      </c>
      <c r="BD486">
        <f t="shared" si="451"/>
        <v>-8.4190395099681972</v>
      </c>
      <c r="BE486" s="43">
        <f t="shared" si="452"/>
        <v>106.52999433025323</v>
      </c>
      <c r="BF486" s="41" t="str">
        <f t="shared" si="453"/>
        <v>0,766644093568753-1,73468995158345i</v>
      </c>
      <c r="BG486" s="20">
        <f t="shared" si="454"/>
        <v>5.5592744553371762</v>
      </c>
      <c r="BH486" s="43">
        <f t="shared" si="455"/>
        <v>-66.15702683208724</v>
      </c>
      <c r="BI486" s="41" t="str">
        <f t="shared" si="409"/>
        <v>2,75966434458997+1,65612880705719i</v>
      </c>
      <c r="BJ486" s="20">
        <f t="shared" si="456"/>
        <v>10.15297286306339</v>
      </c>
      <c r="BK486" s="43">
        <f t="shared" si="410"/>
        <v>30.968797129383841</v>
      </c>
      <c r="BL486">
        <f t="shared" si="457"/>
        <v>5.5592744553371762</v>
      </c>
      <c r="BM486" s="43">
        <f t="shared" si="458"/>
        <v>-66.15702683208724</v>
      </c>
    </row>
    <row r="487" spans="14:65" x14ac:dyDescent="0.25">
      <c r="N487" s="9">
        <v>69</v>
      </c>
      <c r="O487" s="34">
        <f t="shared" si="459"/>
        <v>489778.81936844654</v>
      </c>
      <c r="P487" s="33" t="str">
        <f t="shared" si="411"/>
        <v>54,631621870174</v>
      </c>
      <c r="Q487" s="4" t="str">
        <f t="shared" si="412"/>
        <v>1+12265,2475510535i</v>
      </c>
      <c r="R487" s="4">
        <f t="shared" si="424"/>
        <v>12265.247591819085</v>
      </c>
      <c r="S487" s="4">
        <f t="shared" si="425"/>
        <v>1.5707147956237058</v>
      </c>
      <c r="T487" s="4" t="str">
        <f t="shared" si="413"/>
        <v>1+153,868554081179i</v>
      </c>
      <c r="U487" s="4">
        <f t="shared" si="426"/>
        <v>153.87180357373052</v>
      </c>
      <c r="V487" s="4">
        <f t="shared" si="427"/>
        <v>1.5642973645664213</v>
      </c>
      <c r="W487" t="str">
        <f t="shared" si="414"/>
        <v>1-12,2459022793534i</v>
      </c>
      <c r="X487" s="4">
        <f t="shared" si="428"/>
        <v>12.286664422676841</v>
      </c>
      <c r="Y487" s="4">
        <f t="shared" si="429"/>
        <v>-1.4893171474770677</v>
      </c>
      <c r="Z487" t="str">
        <f t="shared" si="415"/>
        <v>0,0404668323921999+1,68248792780355i</v>
      </c>
      <c r="AA487" s="4">
        <f t="shared" si="430"/>
        <v>1.6829745071534929</v>
      </c>
      <c r="AB487" s="4">
        <f t="shared" si="431"/>
        <v>1.5467491813528083</v>
      </c>
      <c r="AC487" s="47" t="str">
        <f t="shared" si="432"/>
        <v>-4,97905395262185-0,495090612627508i</v>
      </c>
      <c r="AD487" s="20">
        <f t="shared" si="433"/>
        <v>13.985665557460944</v>
      </c>
      <c r="AE487" s="43">
        <f t="shared" si="434"/>
        <v>-174.32147867862841</v>
      </c>
      <c r="AF487" t="str">
        <f t="shared" si="416"/>
        <v>171,265703090588</v>
      </c>
      <c r="AG487" t="str">
        <f t="shared" si="417"/>
        <v>1+12147,8689181278i</v>
      </c>
      <c r="AH487">
        <f t="shared" si="435"/>
        <v>12147.868959287282</v>
      </c>
      <c r="AI487">
        <f t="shared" si="436"/>
        <v>1.5707140078297777</v>
      </c>
      <c r="AJ487" t="str">
        <f t="shared" si="418"/>
        <v>1+153,868554081179i</v>
      </c>
      <c r="AK487">
        <f t="shared" si="437"/>
        <v>153.87180357373052</v>
      </c>
      <c r="AL487">
        <f t="shared" si="438"/>
        <v>1.5642973645664213</v>
      </c>
      <c r="AM487" t="str">
        <f t="shared" si="419"/>
        <v>1-3,86890356799312i</v>
      </c>
      <c r="AN487">
        <f t="shared" si="439"/>
        <v>3.9960499018943567</v>
      </c>
      <c r="AO487">
        <f t="shared" si="440"/>
        <v>-1.317860833457678</v>
      </c>
      <c r="AP487" s="41" t="str">
        <f t="shared" si="441"/>
        <v>2,11544942815151-8,40674762961683i</v>
      </c>
      <c r="AQ487">
        <f t="shared" si="442"/>
        <v>18.759205011654196</v>
      </c>
      <c r="AR487" s="43">
        <f t="shared" si="443"/>
        <v>-75.875510320349292</v>
      </c>
      <c r="AS487" t="str">
        <f t="shared" si="420"/>
        <v>-0,0000166666666666667</v>
      </c>
      <c r="AT487" t="str">
        <f t="shared" si="421"/>
        <v>0,0101984077645006i</v>
      </c>
      <c r="AU487">
        <f t="shared" si="444"/>
        <v>1.01984077645006E-2</v>
      </c>
      <c r="AV487">
        <f t="shared" si="445"/>
        <v>1.5707963267948966</v>
      </c>
      <c r="AW487" t="str">
        <f t="shared" si="422"/>
        <v>1+3,43209520750778i</v>
      </c>
      <c r="AX487">
        <f t="shared" si="446"/>
        <v>3.5748115353676861</v>
      </c>
      <c r="AY487">
        <f t="shared" si="447"/>
        <v>1.2872782204205486</v>
      </c>
      <c r="AZ487" t="str">
        <f t="shared" si="423"/>
        <v>1+812,425965548627i</v>
      </c>
      <c r="BA487">
        <f t="shared" si="448"/>
        <v>812.42658098908771</v>
      </c>
      <c r="BB487">
        <f t="shared" si="449"/>
        <v>1.5695654460286692</v>
      </c>
      <c r="BC487" s="41" t="str">
        <f t="shared" si="450"/>
        <v>-0,103455910414761+0,356704776358624i</v>
      </c>
      <c r="BD487">
        <f t="shared" si="451"/>
        <v>-8.6030529854167721</v>
      </c>
      <c r="BE487" s="43">
        <f t="shared" si="452"/>
        <v>106.17386663780265</v>
      </c>
      <c r="BF487" s="41" t="str">
        <f t="shared" si="453"/>
        <v>0,691713745927257-1,72483227658032i</v>
      </c>
      <c r="BG487" s="20">
        <f t="shared" si="454"/>
        <v>5.3826125720441729</v>
      </c>
      <c r="BH487" s="43">
        <f t="shared" si="455"/>
        <v>-68.147612040825763</v>
      </c>
      <c r="BI487" s="41" t="str">
        <f t="shared" si="409"/>
        <v>2,77987128660006+1,62431864481591i</v>
      </c>
      <c r="BJ487" s="20">
        <f t="shared" si="456"/>
        <v>10.156152026237418</v>
      </c>
      <c r="BK487" s="43">
        <f t="shared" si="410"/>
        <v>30.298356317453457</v>
      </c>
      <c r="BL487">
        <f t="shared" si="457"/>
        <v>5.3826125720441729</v>
      </c>
      <c r="BM487" s="43">
        <f t="shared" si="458"/>
        <v>-68.147612040825763</v>
      </c>
    </row>
    <row r="488" spans="14:65" x14ac:dyDescent="0.25">
      <c r="N488" s="9">
        <v>70</v>
      </c>
      <c r="O488" s="34">
        <f t="shared" si="459"/>
        <v>501187.23362727347</v>
      </c>
      <c r="P488" s="33" t="str">
        <f t="shared" si="411"/>
        <v>54,631621870174</v>
      </c>
      <c r="Q488" s="4" t="str">
        <f t="shared" si="412"/>
        <v>1+12550,9418675817i</v>
      </c>
      <c r="R488" s="4">
        <f t="shared" si="424"/>
        <v>12550.941907419347</v>
      </c>
      <c r="S488" s="4">
        <f t="shared" si="425"/>
        <v>1.5707166514997328</v>
      </c>
      <c r="T488" s="4" t="str">
        <f t="shared" si="413"/>
        <v>1+157,452613123643i</v>
      </c>
      <c r="U488" s="4">
        <f t="shared" si="426"/>
        <v>157.4557886502227</v>
      </c>
      <c r="V488" s="4">
        <f t="shared" si="427"/>
        <v>1.5644452949833325</v>
      </c>
      <c r="W488" t="str">
        <f t="shared" si="414"/>
        <v>1-12,5311459866172i</v>
      </c>
      <c r="X488" s="4">
        <f t="shared" si="428"/>
        <v>12.570983244675508</v>
      </c>
      <c r="Y488" s="4">
        <f t="shared" si="429"/>
        <v>-1.4911639185985803</v>
      </c>
      <c r="Z488" t="str">
        <f t="shared" si="415"/>
        <v>-0,00475457260384005+1,72167810611834i</v>
      </c>
      <c r="AA488" s="4">
        <f t="shared" si="430"/>
        <v>1.7216846712008211</v>
      </c>
      <c r="AB488" s="4">
        <f t="shared" si="431"/>
        <v>1.5735579118439578</v>
      </c>
      <c r="AC488" s="47" t="str">
        <f t="shared" si="432"/>
        <v>-4,99181884944707-0,353006438126698i</v>
      </c>
      <c r="AD488" s="20">
        <f t="shared" si="433"/>
        <v>13.98684081204671</v>
      </c>
      <c r="AE488" s="43">
        <f t="shared" si="434"/>
        <v>-175.95494852617733</v>
      </c>
      <c r="AF488" t="str">
        <f t="shared" si="416"/>
        <v>171,265703090588</v>
      </c>
      <c r="AG488" t="str">
        <f t="shared" si="417"/>
        <v>1+12430,8291350654i</v>
      </c>
      <c r="AH488">
        <f t="shared" si="435"/>
        <v>12430.829175287976</v>
      </c>
      <c r="AI488">
        <f t="shared" si="436"/>
        <v>1.5707158816381837</v>
      </c>
      <c r="AJ488" t="str">
        <f t="shared" si="418"/>
        <v>1+157,452613123643i</v>
      </c>
      <c r="AK488">
        <f t="shared" si="437"/>
        <v>157.4557886502227</v>
      </c>
      <c r="AL488">
        <f t="shared" si="438"/>
        <v>1.5644452949833325</v>
      </c>
      <c r="AM488" t="str">
        <f t="shared" si="419"/>
        <v>1-3,95902190893737i</v>
      </c>
      <c r="AN488">
        <f t="shared" si="439"/>
        <v>4.0833631329390849</v>
      </c>
      <c r="AO488">
        <f t="shared" si="440"/>
        <v>-1.3233837246775564</v>
      </c>
      <c r="AP488" s="41" t="str">
        <f t="shared" si="441"/>
        <v>2,11544937656257-8,60192464409108i</v>
      </c>
      <c r="AQ488">
        <f t="shared" si="442"/>
        <v>18.946938765698214</v>
      </c>
      <c r="AR488" s="43">
        <f t="shared" si="443"/>
        <v>-76.183580250721008</v>
      </c>
      <c r="AS488" t="str">
        <f t="shared" si="420"/>
        <v>-0,0000166666666666667</v>
      </c>
      <c r="AT488" t="str">
        <f t="shared" si="421"/>
        <v>0,0104359591978351i</v>
      </c>
      <c r="AU488">
        <f t="shared" si="444"/>
        <v>1.0435959197835101E-2</v>
      </c>
      <c r="AV488">
        <f t="shared" si="445"/>
        <v>1.5707963267948966</v>
      </c>
      <c r="AW488" t="str">
        <f t="shared" si="422"/>
        <v>1+3,51203897468308i</v>
      </c>
      <c r="AX488">
        <f t="shared" si="446"/>
        <v>3.6516322048767424</v>
      </c>
      <c r="AY488">
        <f t="shared" si="447"/>
        <v>1.2934023891139195</v>
      </c>
      <c r="AZ488" t="str">
        <f t="shared" si="423"/>
        <v>1+831,349797292837i</v>
      </c>
      <c r="BA488">
        <f t="shared" si="448"/>
        <v>831.35039872417281</v>
      </c>
      <c r="BB488">
        <f t="shared" si="449"/>
        <v>1.5695934642682399</v>
      </c>
      <c r="BC488" s="41" t="str">
        <f t="shared" si="450"/>
        <v>-0,0991488202497942+0,349811563156529i</v>
      </c>
      <c r="BD488">
        <f t="shared" si="451"/>
        <v>-8.7877308402363798</v>
      </c>
      <c r="BE488" s="43">
        <f t="shared" si="452"/>
        <v>105.82458294552309</v>
      </c>
      <c r="BF488" s="41" t="str">
        <f t="shared" si="453"/>
        <v>0,618418683748781-1,71119578283846i</v>
      </c>
      <c r="BG488" s="20">
        <f t="shared" si="454"/>
        <v>5.1991099718103237</v>
      </c>
      <c r="BH488" s="43">
        <f t="shared" si="455"/>
        <v>-70.1303655806542</v>
      </c>
      <c r="BI488" s="41" t="str">
        <f t="shared" si="409"/>
        <v>2,79930839591983+1,59287933353312i</v>
      </c>
      <c r="BJ488" s="20">
        <f t="shared" si="456"/>
        <v>10.159207925461837</v>
      </c>
      <c r="BK488" s="43">
        <f t="shared" si="410"/>
        <v>29.641002694802093</v>
      </c>
      <c r="BL488">
        <f t="shared" si="457"/>
        <v>5.1991099718103237</v>
      </c>
      <c r="BM488" s="43">
        <f t="shared" si="458"/>
        <v>-70.1303655806542</v>
      </c>
    </row>
    <row r="489" spans="14:65" x14ac:dyDescent="0.25">
      <c r="N489" s="9">
        <v>71</v>
      </c>
      <c r="O489" s="34">
        <f t="shared" si="459"/>
        <v>512861.38399136515</v>
      </c>
      <c r="P489" s="33" t="str">
        <f t="shared" si="411"/>
        <v>54,631621870174</v>
      </c>
      <c r="Q489" s="4" t="str">
        <f t="shared" si="412"/>
        <v>1+12843,2908596195i</v>
      </c>
      <c r="R489" s="4">
        <f t="shared" si="424"/>
        <v>12843.290898550331</v>
      </c>
      <c r="S489" s="4">
        <f t="shared" si="425"/>
        <v>1.5707184651308645</v>
      </c>
      <c r="T489" s="4" t="str">
        <f t="shared" si="413"/>
        <v>1+161,120155625717i</v>
      </c>
      <c r="U489" s="4">
        <f t="shared" si="426"/>
        <v>161.12325886989521</v>
      </c>
      <c r="V489" s="4">
        <f t="shared" si="427"/>
        <v>1.5645898583614466</v>
      </c>
      <c r="W489" t="str">
        <f t="shared" si="414"/>
        <v>1-12,8230338733525i</v>
      </c>
      <c r="X489" s="4">
        <f t="shared" si="428"/>
        <v>12.861967101386382</v>
      </c>
      <c r="Y489" s="4">
        <f t="shared" si="429"/>
        <v>-1.4929691782112813</v>
      </c>
      <c r="Z489" t="str">
        <f t="shared" si="415"/>
        <v>-0,0521071967581499+1,7617811409541i</v>
      </c>
      <c r="AA489" s="4">
        <f t="shared" si="430"/>
        <v>1.7625515449414586</v>
      </c>
      <c r="AB489" s="4">
        <f t="shared" si="431"/>
        <v>1.6003641372694506</v>
      </c>
      <c r="AC489" s="47" t="str">
        <f t="shared" si="432"/>
        <v>-4,99696180008704-0,21065030452466i</v>
      </c>
      <c r="AD489" s="20">
        <f t="shared" si="433"/>
        <v>13.981831590927193</v>
      </c>
      <c r="AE489" s="43">
        <f t="shared" si="434"/>
        <v>-177.58608690643885</v>
      </c>
      <c r="AF489" t="str">
        <f t="shared" si="416"/>
        <v>171,265703090588</v>
      </c>
      <c r="AG489" t="str">
        <f t="shared" si="417"/>
        <v>1+12720,3803421518i</v>
      </c>
      <c r="AH489">
        <f t="shared" si="435"/>
        <v>12720.380381458801</v>
      </c>
      <c r="AI489">
        <f t="shared" si="436"/>
        <v>1.5707177127935035</v>
      </c>
      <c r="AJ489" t="str">
        <f t="shared" si="418"/>
        <v>1+161,120155625717i</v>
      </c>
      <c r="AK489">
        <f t="shared" si="437"/>
        <v>161.12325886989521</v>
      </c>
      <c r="AL489">
        <f t="shared" si="438"/>
        <v>1.5645898583614466</v>
      </c>
      <c r="AM489" t="str">
        <f t="shared" si="419"/>
        <v>1-4,05123937570157i</v>
      </c>
      <c r="AN489">
        <f t="shared" si="439"/>
        <v>4.1728336270734365</v>
      </c>
      <c r="AO489">
        <f t="shared" si="440"/>
        <v>-1.3287958299439064</v>
      </c>
      <c r="AP489" s="41" t="str">
        <f t="shared" si="441"/>
        <v>2,11544932729554-8,80166251287108i</v>
      </c>
      <c r="AQ489">
        <f t="shared" si="442"/>
        <v>19.1351922055096</v>
      </c>
      <c r="AR489" s="43">
        <f t="shared" si="443"/>
        <v>-76.485493086796637</v>
      </c>
      <c r="AS489" t="str">
        <f t="shared" si="420"/>
        <v>-0,0000166666666666667</v>
      </c>
      <c r="AT489" t="str">
        <f t="shared" si="421"/>
        <v>0,0106790439148725i</v>
      </c>
      <c r="AU489">
        <f t="shared" si="444"/>
        <v>1.06790439148725E-2</v>
      </c>
      <c r="AV489">
        <f t="shared" si="445"/>
        <v>1.5707963267948966</v>
      </c>
      <c r="AW489" t="str">
        <f t="shared" si="422"/>
        <v>1+3,59384487141007i</v>
      </c>
      <c r="AX489">
        <f t="shared" si="446"/>
        <v>3.7303781255739299</v>
      </c>
      <c r="AY489">
        <f t="shared" si="447"/>
        <v>1.2994078637309023</v>
      </c>
      <c r="AZ489" t="str">
        <f t="shared" si="423"/>
        <v>1+850,714421703783i</v>
      </c>
      <c r="BA489">
        <f t="shared" si="448"/>
        <v>850.7150094448798</v>
      </c>
      <c r="BB489">
        <f t="shared" si="449"/>
        <v>1.5696208447366389</v>
      </c>
      <c r="BC489" s="41" t="str">
        <f t="shared" si="450"/>
        <v>-0,0950070638391282+0,343001338153906i</v>
      </c>
      <c r="BD489">
        <f t="shared" si="451"/>
        <v>-8.9730476672537947</v>
      </c>
      <c r="BE489" s="43">
        <f t="shared" si="452"/>
        <v>105.48206338127731</v>
      </c>
      <c r="BF489" s="41" t="str">
        <f t="shared" si="453"/>
        <v>0,547000005077041-1,6939513172041i</v>
      </c>
      <c r="BG489" s="20">
        <f t="shared" si="454"/>
        <v>5.0087839236734046</v>
      </c>
      <c r="BH489" s="43">
        <f t="shared" si="455"/>
        <v>-72.104023525161566</v>
      </c>
      <c r="BI489" s="41" t="str">
        <f t="shared" si="409"/>
        <v>2,81799939060704+1,56182206230995i</v>
      </c>
      <c r="BJ489" s="20">
        <f t="shared" si="456"/>
        <v>10.162144538255793</v>
      </c>
      <c r="BK489" s="43">
        <f t="shared" si="410"/>
        <v>28.996570294480634</v>
      </c>
      <c r="BL489">
        <f t="shared" si="457"/>
        <v>5.0087839236734046</v>
      </c>
      <c r="BM489" s="43">
        <f t="shared" si="458"/>
        <v>-72.104023525161566</v>
      </c>
    </row>
    <row r="490" spans="14:65" x14ac:dyDescent="0.25">
      <c r="N490" s="9">
        <v>72</v>
      </c>
      <c r="O490" s="34">
        <f t="shared" si="459"/>
        <v>524807.46024977288</v>
      </c>
      <c r="P490" s="33" t="str">
        <f t="shared" si="411"/>
        <v>54,631621870174</v>
      </c>
      <c r="Q490" s="4" t="str">
        <f t="shared" si="412"/>
        <v>1+13142,4495344721i</v>
      </c>
      <c r="R490" s="4">
        <f t="shared" si="424"/>
        <v>13142.449572516758</v>
      </c>
      <c r="S490" s="4">
        <f t="shared" si="425"/>
        <v>1.5707202374787119</v>
      </c>
      <c r="T490" s="4" t="str">
        <f t="shared" si="413"/>
        <v>1+164,873126166981i</v>
      </c>
      <c r="U490" s="4">
        <f t="shared" si="426"/>
        <v>164.87615877401205</v>
      </c>
      <c r="V490" s="4">
        <f t="shared" si="427"/>
        <v>1.5647311313259973</v>
      </c>
      <c r="W490" t="str">
        <f t="shared" si="414"/>
        <v>1-13,1217207023803i</v>
      </c>
      <c r="X490" s="4">
        <f t="shared" si="428"/>
        <v>13.159770294016372</v>
      </c>
      <c r="Y490" s="4">
        <f t="shared" si="429"/>
        <v>-1.4947338363952556</v>
      </c>
      <c r="Z490" t="str">
        <f t="shared" si="415"/>
        <v>-0,10169148133527+1,80281829547072i</v>
      </c>
      <c r="AA490" s="4">
        <f t="shared" si="430"/>
        <v>1.8056840708884025</v>
      </c>
      <c r="AB490" s="4">
        <f t="shared" si="431"/>
        <v>1.6271435665203011</v>
      </c>
      <c r="AC490" s="47" t="str">
        <f t="shared" si="432"/>
        <v>-4,99449133216199-0,0685594155830886i</v>
      </c>
      <c r="AD490" s="20">
        <f t="shared" si="433"/>
        <v>13.970643542215074</v>
      </c>
      <c r="AE490" s="43">
        <f t="shared" si="434"/>
        <v>-179.21354984993019</v>
      </c>
      <c r="AF490" t="str">
        <f t="shared" si="416"/>
        <v>171,265703090588</v>
      </c>
      <c r="AG490" t="str">
        <f t="shared" si="417"/>
        <v>1+13016,6760632698i</v>
      </c>
      <c r="AH490">
        <f t="shared" si="435"/>
        <v>13016.676101682066</v>
      </c>
      <c r="AI490">
        <f t="shared" si="436"/>
        <v>1.5707195022666398</v>
      </c>
      <c r="AJ490" t="str">
        <f t="shared" si="418"/>
        <v>1+164,873126166981i</v>
      </c>
      <c r="AK490">
        <f t="shared" si="437"/>
        <v>164.87615877401205</v>
      </c>
      <c r="AL490">
        <f t="shared" si="438"/>
        <v>1.5647311313259973</v>
      </c>
      <c r="AM490" t="str">
        <f t="shared" si="419"/>
        <v>1-4,14560486320728i</v>
      </c>
      <c r="AN490">
        <f t="shared" si="439"/>
        <v>4.2645093131388343</v>
      </c>
      <c r="AO490">
        <f t="shared" si="440"/>
        <v>-1.3340987500811181</v>
      </c>
      <c r="AP490" s="41" t="str">
        <f t="shared" si="441"/>
        <v>2,11544928024588-9,00606713961895i</v>
      </c>
      <c r="AQ490">
        <f t="shared" si="442"/>
        <v>19.323944630813877</v>
      </c>
      <c r="AR490" s="43">
        <f t="shared" si="443"/>
        <v>-76.781336214384083</v>
      </c>
      <c r="AS490" t="str">
        <f t="shared" si="420"/>
        <v>-0,0000166666666666667</v>
      </c>
      <c r="AT490" t="str">
        <f t="shared" si="421"/>
        <v>0,0109277908023475i</v>
      </c>
      <c r="AU490">
        <f t="shared" si="444"/>
        <v>1.0927790802347501E-2</v>
      </c>
      <c r="AV490">
        <f t="shared" si="445"/>
        <v>1.5707963267948966</v>
      </c>
      <c r="AW490" t="str">
        <f t="shared" si="422"/>
        <v>1+3,67755627225805i</v>
      </c>
      <c r="AX490">
        <f t="shared" si="446"/>
        <v>3.8110917249030529</v>
      </c>
      <c r="AY490">
        <f t="shared" si="447"/>
        <v>1.3052960950364789</v>
      </c>
      <c r="AZ490" t="str">
        <f t="shared" si="423"/>
        <v>1+870,530106161657i</v>
      </c>
      <c r="BA490">
        <f t="shared" si="448"/>
        <v>870.53068052414199</v>
      </c>
      <c r="BB490">
        <f t="shared" si="449"/>
        <v>1.5696476019511885</v>
      </c>
      <c r="BC490" s="41" t="str">
        <f t="shared" si="450"/>
        <v>-0,0910254438556702+0,336276355394919i</v>
      </c>
      <c r="BD490">
        <f t="shared" si="451"/>
        <v>-9.1589788500464273</v>
      </c>
      <c r="BE490" s="43">
        <f t="shared" si="452"/>
        <v>105.14622565413622</v>
      </c>
      <c r="BF490" s="41" t="str">
        <f t="shared" si="453"/>
        <v>0,477680700743629-1,67328869099701i</v>
      </c>
      <c r="BG490" s="20">
        <f t="shared" si="454"/>
        <v>4.811664692168633</v>
      </c>
      <c r="BH490" s="43">
        <f t="shared" si="455"/>
        <v>-74.067324195793958</v>
      </c>
      <c r="BI490" s="41" t="str">
        <f t="shared" si="409"/>
        <v>2,83596772446446+1,53115683276167i</v>
      </c>
      <c r="BJ490" s="20">
        <f t="shared" si="456"/>
        <v>10.164965780767439</v>
      </c>
      <c r="BK490" s="43">
        <f t="shared" si="410"/>
        <v>28.364889439752176</v>
      </c>
      <c r="BL490">
        <f t="shared" si="457"/>
        <v>4.811664692168633</v>
      </c>
      <c r="BM490" s="43">
        <f t="shared" si="458"/>
        <v>-74.067324195793958</v>
      </c>
    </row>
    <row r="491" spans="14:65" x14ac:dyDescent="0.25">
      <c r="N491" s="9">
        <v>73</v>
      </c>
      <c r="O491" s="34">
        <f t="shared" si="459"/>
        <v>537031.7963702539</v>
      </c>
      <c r="P491" s="33" t="str">
        <f t="shared" si="411"/>
        <v>54,631621870174</v>
      </c>
      <c r="Q491" s="4" t="str">
        <f t="shared" si="412"/>
        <v>1+13448,5765100288i</v>
      </c>
      <c r="R491" s="4">
        <f t="shared" si="424"/>
        <v>13448.576547207456</v>
      </c>
      <c r="S491" s="4">
        <f t="shared" si="425"/>
        <v>1.5707219694829975</v>
      </c>
      <c r="T491" s="4" t="str">
        <f t="shared" si="413"/>
        <v>1+168,713514622092i</v>
      </c>
      <c r="U491" s="4">
        <f t="shared" si="426"/>
        <v>168.71647819978594</v>
      </c>
      <c r="V491" s="4">
        <f t="shared" si="427"/>
        <v>1.564869188759211</v>
      </c>
      <c r="W491" t="str">
        <f t="shared" si="414"/>
        <v>1-13,4273648414111i</v>
      </c>
      <c r="X491" s="4">
        <f t="shared" si="428"/>
        <v>13.464550738304004</v>
      </c>
      <c r="Y491" s="4">
        <f t="shared" si="429"/>
        <v>-1.4964587848096351</v>
      </c>
      <c r="Z491" t="str">
        <f t="shared" si="415"/>
        <v>-0,15361260125065+1,84481132811072i</v>
      </c>
      <c r="AA491" s="4">
        <f t="shared" si="430"/>
        <v>1.8511957399444905</v>
      </c>
      <c r="AB491" s="4">
        <f t="shared" si="431"/>
        <v>1.6538720573477723</v>
      </c>
      <c r="AC491" s="47" t="str">
        <f t="shared" si="432"/>
        <v>-4,98446521299149+0,0727333404851548i</v>
      </c>
      <c r="AD491" s="20">
        <f t="shared" si="433"/>
        <v>13.953296017394345</v>
      </c>
      <c r="AE491" s="43">
        <f t="shared" si="434"/>
        <v>179.16399904059779</v>
      </c>
      <c r="AF491" t="str">
        <f t="shared" si="416"/>
        <v>171,265703090588</v>
      </c>
      <c r="AG491" t="str">
        <f t="shared" si="417"/>
        <v>1+13319,8733983327i</v>
      </c>
      <c r="AH491">
        <f t="shared" si="435"/>
        <v>13319.873435870595</v>
      </c>
      <c r="AI491">
        <f t="shared" si="436"/>
        <v>1.570721251006395</v>
      </c>
      <c r="AJ491" t="str">
        <f t="shared" si="418"/>
        <v>1+168,713514622092i</v>
      </c>
      <c r="AK491">
        <f t="shared" si="437"/>
        <v>168.71647819978594</v>
      </c>
      <c r="AL491">
        <f t="shared" si="438"/>
        <v>1.564869188759211</v>
      </c>
      <c r="AM491" t="str">
        <f t="shared" si="419"/>
        <v>1-4,24216840528503i</v>
      </c>
      <c r="AN491">
        <f t="shared" si="439"/>
        <v>4.358439259505464</v>
      </c>
      <c r="AO491">
        <f t="shared" si="440"/>
        <v>-1.3392941032644126</v>
      </c>
      <c r="AP491" s="41" t="str">
        <f t="shared" si="441"/>
        <v>2,11544923531379-9,21524690237313i</v>
      </c>
      <c r="AQ491">
        <f t="shared" si="442"/>
        <v>19.513176055919438</v>
      </c>
      <c r="AR491" s="43">
        <f t="shared" si="443"/>
        <v>-77.071198112020497</v>
      </c>
      <c r="AS491" t="str">
        <f t="shared" si="420"/>
        <v>-0,0000166666666666667</v>
      </c>
      <c r="AT491" t="str">
        <f t="shared" si="421"/>
        <v>0,0111823317491523i</v>
      </c>
      <c r="AU491">
        <f t="shared" si="444"/>
        <v>1.1182331749152299E-2</v>
      </c>
      <c r="AV491">
        <f t="shared" si="445"/>
        <v>1.5707963267948966</v>
      </c>
      <c r="AW491" t="str">
        <f t="shared" si="422"/>
        <v>1+3,76321756211981i</v>
      </c>
      <c r="AX491">
        <f t="shared" si="446"/>
        <v>3.8938164337635337</v>
      </c>
      <c r="AY491">
        <f t="shared" si="447"/>
        <v>1.3110685711743186</v>
      </c>
      <c r="AZ491" t="str">
        <f t="shared" si="423"/>
        <v>1+890,807357204645i</v>
      </c>
      <c r="BA491">
        <f t="shared" si="448"/>
        <v>890.80791849305206</v>
      </c>
      <c r="BB491">
        <f t="shared" si="449"/>
        <v>1.569673750098765</v>
      </c>
      <c r="BC491" s="41" t="str">
        <f t="shared" si="450"/>
        <v>-0,087198830599817+0,329638617160296i</v>
      </c>
      <c r="BD491">
        <f t="shared" si="451"/>
        <v>-9.3455005533850191</v>
      </c>
      <c r="BE491" s="43">
        <f t="shared" si="452"/>
        <v>104.81698531259623</v>
      </c>
      <c r="BF491" s="41" t="str">
        <f t="shared" si="453"/>
        <v>0,41066381995935-1,64941448233004i</v>
      </c>
      <c r="BG491" s="20">
        <f t="shared" si="454"/>
        <v>4.6077954640093335</v>
      </c>
      <c r="BH491" s="43">
        <f t="shared" si="455"/>
        <v>-76.019015646806025</v>
      </c>
      <c r="BI491" s="41" t="str">
        <f t="shared" si="409"/>
        <v>2,85323654617634+1,50089251417717i</v>
      </c>
      <c r="BJ491" s="20">
        <f t="shared" si="456"/>
        <v>10.167675502534422</v>
      </c>
      <c r="BK491" s="43">
        <f t="shared" si="410"/>
        <v>27.745787200575791</v>
      </c>
      <c r="BL491">
        <f t="shared" si="457"/>
        <v>4.6077954640093335</v>
      </c>
      <c r="BM491" s="43">
        <f t="shared" si="458"/>
        <v>-76.019015646806025</v>
      </c>
    </row>
    <row r="492" spans="14:65" x14ac:dyDescent="0.25">
      <c r="N492" s="9">
        <v>74</v>
      </c>
      <c r="O492" s="34">
        <f t="shared" si="459"/>
        <v>549540.87385762564</v>
      </c>
      <c r="P492" s="33" t="str">
        <f t="shared" si="411"/>
        <v>54,631621870174</v>
      </c>
      <c r="Q492" s="4" t="str">
        <f t="shared" si="412"/>
        <v>1+13761,834098864i</v>
      </c>
      <c r="R492" s="4">
        <f t="shared" si="424"/>
        <v>13761.834135196366</v>
      </c>
      <c r="S492" s="4">
        <f t="shared" si="425"/>
        <v>1.5707236620620524</v>
      </c>
      <c r="T492" s="4" t="str">
        <f t="shared" si="413"/>
        <v>1+172,643357215843i</v>
      </c>
      <c r="U492" s="4">
        <f t="shared" si="426"/>
        <v>172.64625333541753</v>
      </c>
      <c r="V492" s="4">
        <f t="shared" si="427"/>
        <v>1.5650041038399032</v>
      </c>
      <c r="W492" t="str">
        <f t="shared" si="414"/>
        <v>1-13,7401283470129i</v>
      </c>
      <c r="X492" s="4">
        <f t="shared" si="428"/>
        <v>13.776470048324697</v>
      </c>
      <c r="Y492" s="4">
        <f t="shared" si="429"/>
        <v>-1.4981448969619813</v>
      </c>
      <c r="Z492" t="str">
        <f t="shared" si="415"/>
        <v>-0,20798068816081+1,88778250413585i</v>
      </c>
      <c r="AA492" s="4">
        <f t="shared" si="430"/>
        <v>1.8992047676775836</v>
      </c>
      <c r="AB492" s="4">
        <f t="shared" si="431"/>
        <v>1.6805257491223204</v>
      </c>
      <c r="AC492" s="47" t="str">
        <f t="shared" si="432"/>
        <v>-4,96698945644591+0,212704864593501i</v>
      </c>
      <c r="AD492" s="20">
        <f t="shared" si="433"/>
        <v>13.929821861216325</v>
      </c>
      <c r="AE492" s="43">
        <f t="shared" si="434"/>
        <v>177.54788097043843</v>
      </c>
      <c r="AF492" t="str">
        <f t="shared" si="416"/>
        <v>171,265703090588</v>
      </c>
      <c r="AG492" t="str">
        <f t="shared" si="417"/>
        <v>1+13630,1331065806i</v>
      </c>
      <c r="AH492">
        <f t="shared" si="435"/>
        <v>13630.133143264027</v>
      </c>
      <c r="AI492">
        <f t="shared" si="436"/>
        <v>1.5707229599399741</v>
      </c>
      <c r="AJ492" t="str">
        <f t="shared" si="418"/>
        <v>1+172,643357215843i</v>
      </c>
      <c r="AK492">
        <f t="shared" si="437"/>
        <v>172.64625333541753</v>
      </c>
      <c r="AL492">
        <f t="shared" si="438"/>
        <v>1.5650041038399032</v>
      </c>
      <c r="AM492" t="str">
        <f t="shared" si="419"/>
        <v>1-4,34098120120299i</v>
      </c>
      <c r="AN492">
        <f t="shared" si="439"/>
        <v>4.4546737017651195</v>
      </c>
      <c r="AO492">
        <f t="shared" si="440"/>
        <v>-1.3443835217947369</v>
      </c>
      <c r="AP492" s="41" t="str">
        <f t="shared" si="441"/>
        <v>2,11544919240399-9,429312711013i</v>
      </c>
      <c r="AQ492">
        <f t="shared" si="442"/>
        <v>19.7028671943117</v>
      </c>
      <c r="AR492" s="43">
        <f t="shared" si="443"/>
        <v>-77.355168163949017</v>
      </c>
      <c r="AS492" t="str">
        <f t="shared" si="420"/>
        <v>-0,0000166666666666667</v>
      </c>
      <c r="AT492" t="str">
        <f t="shared" si="421"/>
        <v>0,0114428017162661i</v>
      </c>
      <c r="AU492">
        <f t="shared" si="444"/>
        <v>1.1442801716266099E-2</v>
      </c>
      <c r="AV492">
        <f t="shared" si="445"/>
        <v>1.5707963267948966</v>
      </c>
      <c r="AW492" t="str">
        <f t="shared" si="422"/>
        <v>1+3,85087415974505i</v>
      </c>
      <c r="AX492">
        <f t="shared" si="446"/>
        <v>3.9785967116801553</v>
      </c>
      <c r="AY492">
        <f t="shared" si="447"/>
        <v>1.3167268133805865</v>
      </c>
      <c r="AZ492" t="str">
        <f t="shared" si="423"/>
        <v>1+911,556926099651i</v>
      </c>
      <c r="BA492">
        <f t="shared" si="448"/>
        <v>911.55747461158194</v>
      </c>
      <c r="BB492">
        <f t="shared" si="449"/>
        <v>1.5696993030433191</v>
      </c>
      <c r="BC492" s="41" t="str">
        <f t="shared" si="450"/>
        <v>-0,0835221700446983+0,323089886138477i</v>
      </c>
      <c r="BD492">
        <f t="shared" si="451"/>
        <v>-9.5325897123835119</v>
      </c>
      <c r="BE492" s="43">
        <f t="shared" si="452"/>
        <v>104.49425599059147</v>
      </c>
      <c r="BF492" s="41" t="str">
        <f t="shared" si="453"/>
        <v>0,346130947508885-1,62254962980404i</v>
      </c>
      <c r="BG492" s="20">
        <f t="shared" si="454"/>
        <v>4.3972321488328268</v>
      </c>
      <c r="BH492" s="43">
        <f t="shared" si="455"/>
        <v>-77.957863038970117</v>
      </c>
      <c r="BI492" s="41" t="str">
        <f t="shared" si="409"/>
        <v>2,8698286629964+1,4710368983594i</v>
      </c>
      <c r="BJ492" s="20">
        <f t="shared" si="456"/>
        <v>10.170277481928192</v>
      </c>
      <c r="BK492" s="43">
        <f t="shared" si="410"/>
        <v>27.139087826642431</v>
      </c>
      <c r="BL492">
        <f t="shared" si="457"/>
        <v>4.3972321488328268</v>
      </c>
      <c r="BM492" s="43">
        <f t="shared" si="458"/>
        <v>-77.957863038970117</v>
      </c>
    </row>
    <row r="493" spans="14:65" x14ac:dyDescent="0.25">
      <c r="N493" s="9">
        <v>75</v>
      </c>
      <c r="O493" s="34">
        <f t="shared" si="459"/>
        <v>562341.32519035018</v>
      </c>
      <c r="P493" s="33" t="str">
        <f t="shared" si="411"/>
        <v>54,631621870174</v>
      </c>
      <c r="Q493" s="4" t="str">
        <f t="shared" si="412"/>
        <v>1+14082,3883942979i</v>
      </c>
      <c r="R493" s="4">
        <f t="shared" si="424"/>
        <v>14082.388429803237</v>
      </c>
      <c r="S493" s="4">
        <f t="shared" si="425"/>
        <v>1.5707253161133048</v>
      </c>
      <c r="T493" s="4" t="str">
        <f t="shared" si="413"/>
        <v>1+176,664737602795i</v>
      </c>
      <c r="U493" s="4">
        <f t="shared" si="426"/>
        <v>176.66756779970794</v>
      </c>
      <c r="V493" s="4">
        <f t="shared" si="427"/>
        <v>1.5651359480821785</v>
      </c>
      <c r="W493" t="str">
        <f t="shared" si="414"/>
        <v>1-14,0601770505365i</v>
      </c>
      <c r="X493" s="4">
        <f t="shared" si="428"/>
        <v>14.095693622253334</v>
      </c>
      <c r="Y493" s="4">
        <f t="shared" si="429"/>
        <v>-1.4997930284812044</v>
      </c>
      <c r="Z493" t="str">
        <f t="shared" si="415"/>
        <v>-0,26491106406736+1,93175460743244i</v>
      </c>
      <c r="AA493" s="4">
        <f t="shared" si="430"/>
        <v>1.9498342840358927</v>
      </c>
      <c r="AB493" s="4">
        <f t="shared" si="431"/>
        <v>1.7070811915348276</v>
      </c>
      <c r="AC493" s="47" t="str">
        <f t="shared" si="432"/>
        <v>-4,94221661675338+0,35084710537555i</v>
      </c>
      <c r="AD493" s="20">
        <f t="shared" si="433"/>
        <v>13.900267078546957</v>
      </c>
      <c r="AE493" s="43">
        <f t="shared" si="434"/>
        <v>175.9393945654447</v>
      </c>
      <c r="AF493" t="str">
        <f t="shared" si="416"/>
        <v>171,265703090588</v>
      </c>
      <c r="AG493" t="str">
        <f t="shared" si="417"/>
        <v>1+13947,6196918179i</v>
      </c>
      <c r="AH493">
        <f t="shared" si="435"/>
        <v>13947.619727666312</v>
      </c>
      <c r="AI493">
        <f t="shared" si="436"/>
        <v>1.5707246299734761</v>
      </c>
      <c r="AJ493" t="str">
        <f t="shared" si="418"/>
        <v>1+176,664737602795i</v>
      </c>
      <c r="AK493">
        <f t="shared" si="437"/>
        <v>176.66756779970794</v>
      </c>
      <c r="AL493">
        <f t="shared" si="438"/>
        <v>1.5651359480821785</v>
      </c>
      <c r="AM493" t="str">
        <f t="shared" si="419"/>
        <v>1-4,44209564281352i</v>
      </c>
      <c r="AN493">
        <f t="shared" si="439"/>
        <v>4.5532640709608376</v>
      </c>
      <c r="AO493">
        <f t="shared" si="440"/>
        <v>-1.3493686490636581</v>
      </c>
      <c r="AP493" s="41" t="str">
        <f t="shared" si="441"/>
        <v>2,11544915142544-9,64837806606367i</v>
      </c>
      <c r="AQ493">
        <f t="shared" si="442"/>
        <v>19.892999442739189</v>
      </c>
      <c r="AR493" s="43">
        <f t="shared" si="443"/>
        <v>-77.63333648402967</v>
      </c>
      <c r="AS493" t="str">
        <f t="shared" si="420"/>
        <v>-0,0000166666666666667</v>
      </c>
      <c r="AT493" t="str">
        <f t="shared" si="421"/>
        <v>0,0117093388083133i</v>
      </c>
      <c r="AU493">
        <f t="shared" si="444"/>
        <v>1.17093388083133E-2</v>
      </c>
      <c r="AV493">
        <f t="shared" si="445"/>
        <v>1.5707963267948966</v>
      </c>
      <c r="AW493" t="str">
        <f t="shared" si="422"/>
        <v>1+3,94057254182216i</v>
      </c>
      <c r="AX493">
        <f t="shared" si="446"/>
        <v>4.0654780724242947</v>
      </c>
      <c r="AY493">
        <f t="shared" si="447"/>
        <v>1.3222723719088845</v>
      </c>
      <c r="AZ493" t="str">
        <f t="shared" si="423"/>
        <v>1+932,78981454276i</v>
      </c>
      <c r="BA493">
        <f t="shared" si="448"/>
        <v>932.79035056904218</v>
      </c>
      <c r="BB493">
        <f t="shared" si="449"/>
        <v>1.5697242743332267</v>
      </c>
      <c r="BC493" s="41" t="str">
        <f t="shared" si="450"/>
        <v>-0,0799904909285485+0,316631697470244i</v>
      </c>
      <c r="BD493">
        <f t="shared" si="451"/>
        <v>-9.7202240205049257</v>
      </c>
      <c r="BE493" s="43">
        <f t="shared" si="452"/>
        <v>104.17794964139786</v>
      </c>
      <c r="BF493" s="41" t="str">
        <f t="shared" si="453"/>
        <v>0,284241018921751-1,59292686882812i</v>
      </c>
      <c r="BG493" s="20">
        <f t="shared" si="454"/>
        <v>4.180043058042032</v>
      </c>
      <c r="BH493" s="43">
        <f t="shared" si="455"/>
        <v>-79.88265579315744</v>
      </c>
      <c r="BI493" s="41" t="str">
        <f t="shared" si="409"/>
        <v>2,88576650873551+1,4415967538965i</v>
      </c>
      <c r="BJ493" s="20">
        <f t="shared" si="456"/>
        <v>10.172775422234272</v>
      </c>
      <c r="BK493" s="43">
        <f t="shared" si="410"/>
        <v>26.544613157368236</v>
      </c>
      <c r="BL493">
        <f t="shared" si="457"/>
        <v>4.180043058042032</v>
      </c>
      <c r="BM493" s="43">
        <f t="shared" si="458"/>
        <v>-79.88265579315744</v>
      </c>
    </row>
    <row r="494" spans="14:65" x14ac:dyDescent="0.25">
      <c r="N494" s="9">
        <v>76</v>
      </c>
      <c r="O494" s="34">
        <f t="shared" si="459"/>
        <v>575439.93733715697</v>
      </c>
      <c r="P494" s="33" t="str">
        <f t="shared" si="411"/>
        <v>54,631621870174</v>
      </c>
      <c r="Q494" s="4" t="str">
        <f t="shared" si="412"/>
        <v>1+14410,4093584608i</v>
      </c>
      <c r="R494" s="4">
        <f t="shared" si="424"/>
        <v>14410.409393157939</v>
      </c>
      <c r="S494" s="4">
        <f t="shared" si="425"/>
        <v>1.5707269325137545</v>
      </c>
      <c r="T494" s="4" t="str">
        <f t="shared" si="413"/>
        <v>1+180,779787972059i</v>
      </c>
      <c r="U494" s="4">
        <f t="shared" si="426"/>
        <v>180.78255374682209</v>
      </c>
      <c r="V494" s="4">
        <f t="shared" si="427"/>
        <v>1.565264791373254</v>
      </c>
      <c r="W494" t="str">
        <f t="shared" si="414"/>
        <v>1-14,3876806460407i</v>
      </c>
      <c r="X494" s="4">
        <f t="shared" si="428"/>
        <v>14.422390730127031</v>
      </c>
      <c r="Y494" s="4">
        <f t="shared" si="429"/>
        <v>-1.5014040173933103</v>
      </c>
      <c r="Z494" t="str">
        <f t="shared" si="415"/>
        <v>-0,32452448593037+1,97675095259167i</v>
      </c>
      <c r="AA494" s="4">
        <f t="shared" si="430"/>
        <v>2.0032125375357568</v>
      </c>
      <c r="AB494" s="4">
        <f t="shared" si="431"/>
        <v>1.7335154674523294</v>
      </c>
      <c r="AC494" s="47" t="str">
        <f t="shared" si="432"/>
        <v>-4,91034341721746+0,486671997666762i</v>
      </c>
      <c r="AD494" s="20">
        <f t="shared" si="433"/>
        <v>13.864690384786332</v>
      </c>
      <c r="AE494" s="43">
        <f t="shared" si="434"/>
        <v>174.3398088192549</v>
      </c>
      <c r="AF494" t="str">
        <f t="shared" si="416"/>
        <v>171,265703090588</v>
      </c>
      <c r="AG494" t="str">
        <f t="shared" si="417"/>
        <v>1+14272,5014896343i</v>
      </c>
      <c r="AH494">
        <f t="shared" si="435"/>
        <v>14272.501524666699</v>
      </c>
      <c r="AI494">
        <f t="shared" si="436"/>
        <v>1.5707262619923748</v>
      </c>
      <c r="AJ494" t="str">
        <f t="shared" si="418"/>
        <v>1+180,779787972059i</v>
      </c>
      <c r="AK494">
        <f t="shared" si="437"/>
        <v>180.78255374682209</v>
      </c>
      <c r="AL494">
        <f t="shared" si="438"/>
        <v>1.565264791373254</v>
      </c>
      <c r="AM494" t="str">
        <f t="shared" si="419"/>
        <v>1-4,54556534233193i</v>
      </c>
      <c r="AN494">
        <f t="shared" si="439"/>
        <v>4.6542630223709098</v>
      </c>
      <c r="AO494">
        <f t="shared" si="440"/>
        <v>-1.3542511367026193</v>
      </c>
      <c r="AP494" s="41" t="str">
        <f t="shared" si="441"/>
        <v>2,11544911229124-9,87255911887602i</v>
      </c>
      <c r="AQ494">
        <f t="shared" si="442"/>
        <v>20.083554864892289</v>
      </c>
      <c r="AR494" s="43">
        <f t="shared" si="443"/>
        <v>-77.905793750264706</v>
      </c>
      <c r="AS494" t="str">
        <f t="shared" si="420"/>
        <v>-0,0000166666666666667</v>
      </c>
      <c r="AT494" t="str">
        <f t="shared" si="421"/>
        <v>0,011982084346788i</v>
      </c>
      <c r="AU494">
        <f t="shared" si="444"/>
        <v>1.1982084346788E-2</v>
      </c>
      <c r="AV494">
        <f t="shared" si="445"/>
        <v>1.5707963267948966</v>
      </c>
      <c r="AW494" t="str">
        <f t="shared" si="422"/>
        <v>1+4,03236026762057i</v>
      </c>
      <c r="AX494">
        <f t="shared" si="446"/>
        <v>4.1545071101016342</v>
      </c>
      <c r="AY494">
        <f t="shared" si="447"/>
        <v>1.3277068221636508</v>
      </c>
      <c r="AZ494" t="str">
        <f t="shared" si="423"/>
        <v>1+954,517280492468i</v>
      </c>
      <c r="BA494">
        <f t="shared" si="448"/>
        <v>954.51780431730913</v>
      </c>
      <c r="BB494">
        <f t="shared" si="449"/>
        <v>1.5697486772084717</v>
      </c>
      <c r="BC494" s="41" t="str">
        <f t="shared" si="450"/>
        <v>-0,0765989109500872+0,310265370618411i</v>
      </c>
      <c r="BD494">
        <f t="shared" si="451"/>
        <v>-9.908381916562254</v>
      </c>
      <c r="BE494" s="43">
        <f t="shared" si="452"/>
        <v>103.86797675958547</v>
      </c>
      <c r="BF494" s="41" t="str">
        <f t="shared" si="453"/>
        <v>0,225129490424107-1,56078806521783i</v>
      </c>
      <c r="BG494" s="20">
        <f t="shared" si="454"/>
        <v>3.9563084682240941</v>
      </c>
      <c r="BH494" s="43">
        <f t="shared" si="455"/>
        <v>-81.792214421159613</v>
      </c>
      <c r="BI494" s="41" t="str">
        <f t="shared" si="409"/>
        <v>2,9010721157984+1,41257787964569i</v>
      </c>
      <c r="BJ494" s="20">
        <f t="shared" si="456"/>
        <v>10.175172948330031</v>
      </c>
      <c r="BK494" s="43">
        <f t="shared" si="410"/>
        <v>25.962183009320874</v>
      </c>
      <c r="BL494">
        <f t="shared" si="457"/>
        <v>3.9563084682240941</v>
      </c>
      <c r="BM494" s="43">
        <f t="shared" si="458"/>
        <v>-81.792214421159613</v>
      </c>
    </row>
    <row r="495" spans="14:65" x14ac:dyDescent="0.25">
      <c r="N495" s="9">
        <v>77</v>
      </c>
      <c r="O495" s="34">
        <f t="shared" si="459"/>
        <v>588843.65535558888</v>
      </c>
      <c r="P495" s="33" t="str">
        <f t="shared" si="411"/>
        <v>54,631621870174</v>
      </c>
      <c r="Q495" s="4" t="str">
        <f t="shared" si="412"/>
        <v>1+14746,0709124099i</v>
      </c>
      <c r="R495" s="4">
        <f t="shared" si="424"/>
        <v>14746.070946317233</v>
      </c>
      <c r="S495" s="4">
        <f t="shared" si="425"/>
        <v>1.5707285121204382</v>
      </c>
      <c r="T495" s="4" t="str">
        <f t="shared" si="413"/>
        <v>1+184,990690177808i</v>
      </c>
      <c r="U495" s="4">
        <f t="shared" si="426"/>
        <v>184.99339299678178</v>
      </c>
      <c r="V495" s="4">
        <f t="shared" si="427"/>
        <v>1.5653907020104272</v>
      </c>
      <c r="W495" t="str">
        <f t="shared" si="414"/>
        <v>1-14,7228127802668i</v>
      </c>
      <c r="X495" s="4">
        <f t="shared" si="428"/>
        <v>14.756734603657661</v>
      </c>
      <c r="Y495" s="4">
        <f t="shared" si="429"/>
        <v>-1.502978684399356</v>
      </c>
      <c r="Z495" t="str">
        <f t="shared" si="415"/>
        <v>-0,38694740181013+2,02279539727136i</v>
      </c>
      <c r="AA495" s="4">
        <f t="shared" si="430"/>
        <v>2.0594731148985193</v>
      </c>
      <c r="AB495" s="4">
        <f t="shared" si="431"/>
        <v>1.7598063082967823</v>
      </c>
      <c r="AC495" s="47" t="str">
        <f t="shared" si="432"/>
        <v>-4,87160777879989+0,61971598700135i</v>
      </c>
      <c r="AD495" s="20">
        <f t="shared" si="433"/>
        <v>13.82316264869446</v>
      </c>
      <c r="AE495" s="43">
        <f t="shared" si="434"/>
        <v>172.75035646874224</v>
      </c>
      <c r="AF495" t="str">
        <f t="shared" si="416"/>
        <v>171,265703090588</v>
      </c>
      <c r="AG495" t="str">
        <f t="shared" si="417"/>
        <v>1+14604,9507566594i</v>
      </c>
      <c r="AH495">
        <f t="shared" si="435"/>
        <v>14604.950790894367</v>
      </c>
      <c r="AI495">
        <f t="shared" si="436"/>
        <v>1.5707278568619882</v>
      </c>
      <c r="AJ495" t="str">
        <f t="shared" si="418"/>
        <v>1+184,990690177808i</v>
      </c>
      <c r="AK495">
        <f t="shared" si="437"/>
        <v>184.99339299678178</v>
      </c>
      <c r="AL495">
        <f t="shared" si="438"/>
        <v>1.5653907020104272</v>
      </c>
      <c r="AM495" t="str">
        <f t="shared" si="419"/>
        <v>1-4,65144516076253i</v>
      </c>
      <c r="AN495">
        <f t="shared" si="439"/>
        <v>4.7577244648656531</v>
      </c>
      <c r="AO495">
        <f t="shared" si="440"/>
        <v>-1.3590326419106311</v>
      </c>
      <c r="AP495" s="41" t="str">
        <f t="shared" si="441"/>
        <v>2,11544907491836-10,1019747332117i</v>
      </c>
      <c r="AQ495">
        <f t="shared" si="442"/>
        <v>20.274516174762269</v>
      </c>
      <c r="AR495" s="43">
        <f t="shared" si="443"/>
        <v>-78.172631049595481</v>
      </c>
      <c r="AS495" t="str">
        <f t="shared" si="420"/>
        <v>-0,0000166666666666667</v>
      </c>
      <c r="AT495" t="str">
        <f t="shared" si="421"/>
        <v>0,0122611829449851i</v>
      </c>
      <c r="AU495">
        <f t="shared" si="444"/>
        <v>1.22611829449851E-2</v>
      </c>
      <c r="AV495">
        <f t="shared" si="445"/>
        <v>1.5707963267948966</v>
      </c>
      <c r="AW495" t="str">
        <f t="shared" si="422"/>
        <v>1+4,12628600420747i</v>
      </c>
      <c r="AX495">
        <f t="shared" si="446"/>
        <v>4.245731525723035</v>
      </c>
      <c r="AY495">
        <f t="shared" si="447"/>
        <v>1.3330317610386393</v>
      </c>
      <c r="AZ495" t="str">
        <f t="shared" si="423"/>
        <v>1+976,750844138826i</v>
      </c>
      <c r="BA495">
        <f t="shared" si="448"/>
        <v>976.75135603996432</v>
      </c>
      <c r="BB495">
        <f t="shared" si="449"/>
        <v>1.569772524607665</v>
      </c>
      <c r="BC495" s="41" t="str">
        <f t="shared" si="450"/>
        <v>-0,0733426421225718+0,303992021020532i</v>
      </c>
      <c r="BD495">
        <f t="shared" si="451"/>
        <v>-10.097042570847091</v>
      </c>
      <c r="BE495" s="43">
        <f t="shared" si="452"/>
        <v>103.56424659120962</v>
      </c>
      <c r="BF495" s="41" t="str">
        <f t="shared" si="453"/>
        <v>0,168907870534783-1,526381502149i</v>
      </c>
      <c r="BG495" s="20">
        <f t="shared" si="454"/>
        <v>3.7261200778473698</v>
      </c>
      <c r="BH495" s="43">
        <f t="shared" si="455"/>
        <v>-83.685396940048165</v>
      </c>
      <c r="BI495" s="41" t="str">
        <f t="shared" si="409"/>
        <v>2,91576709101711+1,38398515723966i</v>
      </c>
      <c r="BJ495" s="20">
        <f t="shared" si="456"/>
        <v>10.177473603915177</v>
      </c>
      <c r="BK495" s="43">
        <f t="shared" si="410"/>
        <v>25.39161554161424</v>
      </c>
      <c r="BL495">
        <f t="shared" si="457"/>
        <v>3.7261200778473698</v>
      </c>
      <c r="BM495" s="43">
        <f t="shared" si="458"/>
        <v>-83.685396940048165</v>
      </c>
    </row>
    <row r="496" spans="14:65" x14ac:dyDescent="0.25">
      <c r="N496" s="9">
        <v>78</v>
      </c>
      <c r="O496" s="34">
        <f t="shared" si="459"/>
        <v>602559.58607435878</v>
      </c>
      <c r="P496" s="33" t="str">
        <f t="shared" si="411"/>
        <v>54,631621870174</v>
      </c>
      <c r="Q496" s="4" t="str">
        <f t="shared" si="412"/>
        <v>1+15089,5510283441i</v>
      </c>
      <c r="R496" s="4">
        <f t="shared" si="424"/>
        <v>15089.551061479613</v>
      </c>
      <c r="S496" s="4">
        <f t="shared" si="425"/>
        <v>1.5707300557708841</v>
      </c>
      <c r="T496" s="4" t="str">
        <f t="shared" si="413"/>
        <v>1+189,299676896131i</v>
      </c>
      <c r="U496" s="4">
        <f t="shared" si="426"/>
        <v>189.3023181923021</v>
      </c>
      <c r="V496" s="4">
        <f t="shared" si="427"/>
        <v>1.5655137467372067</v>
      </c>
      <c r="W496" t="str">
        <f t="shared" si="414"/>
        <v>1-15,0657511447086i</v>
      </c>
      <c r="X496" s="4">
        <f t="shared" si="428"/>
        <v>15.098902528140529</v>
      </c>
      <c r="Y496" s="4">
        <f t="shared" si="429"/>
        <v>-1.5045178331550204</v>
      </c>
      <c r="Z496" t="str">
        <f t="shared" si="415"/>
        <v>-0,45231221908041+2,06991235484554i</v>
      </c>
      <c r="AA496" s="4">
        <f t="shared" si="430"/>
        <v>2.1187551770489326</v>
      </c>
      <c r="AB496" s="4">
        <f t="shared" si="431"/>
        <v>1.7859322005110179</v>
      </c>
      <c r="AC496" s="47" t="str">
        <f t="shared" si="432"/>
        <v>-4,82628532773938+0,74954406041747i</v>
      </c>
      <c r="AD496" s="20">
        <f t="shared" si="433"/>
        <v>13.775766238375786</v>
      </c>
      <c r="AE496" s="43">
        <f t="shared" si="434"/>
        <v>171.17222787999069</v>
      </c>
      <c r="AF496" t="str">
        <f t="shared" si="416"/>
        <v>171,265703090588</v>
      </c>
      <c r="AG496" t="str">
        <f t="shared" si="417"/>
        <v>1+14945,143761895i</v>
      </c>
      <c r="AH496">
        <f t="shared" si="435"/>
        <v>14945.143795350685</v>
      </c>
      <c r="AI496">
        <f t="shared" si="436"/>
        <v>1.5707294154279376</v>
      </c>
      <c r="AJ496" t="str">
        <f t="shared" si="418"/>
        <v>1+189,299676896131i</v>
      </c>
      <c r="AK496">
        <f t="shared" si="437"/>
        <v>189.3023181923021</v>
      </c>
      <c r="AL496">
        <f t="shared" si="438"/>
        <v>1.5655137467372067</v>
      </c>
      <c r="AM496" t="str">
        <f t="shared" si="419"/>
        <v>1-4,75979123698652i</v>
      </c>
      <c r="AN496">
        <f t="shared" si="439"/>
        <v>4.8637035908547785</v>
      </c>
      <c r="AO496">
        <f t="shared" si="440"/>
        <v>-1.3637148249541946</v>
      </c>
      <c r="AP496" s="41" t="str">
        <f t="shared" si="441"/>
        <v>2,11544903922755-10,3367465482662i</v>
      </c>
      <c r="AQ496">
        <f t="shared" si="442"/>
        <v>20.465866719763419</v>
      </c>
      <c r="AR496" s="43">
        <f t="shared" si="443"/>
        <v>-78.433939732614533</v>
      </c>
      <c r="AS496" t="str">
        <f t="shared" si="420"/>
        <v>-0,0000166666666666667</v>
      </c>
      <c r="AT496" t="str">
        <f t="shared" si="421"/>
        <v>0,0125467825846756i</v>
      </c>
      <c r="AU496">
        <f t="shared" si="444"/>
        <v>1.2546782584675601E-2</v>
      </c>
      <c r="AV496">
        <f t="shared" si="445"/>
        <v>1.5707963267948966</v>
      </c>
      <c r="AW496" t="str">
        <f t="shared" si="422"/>
        <v>1+4,22239955225166i</v>
      </c>
      <c r="AX496">
        <f t="shared" si="446"/>
        <v>4.3392001542744048</v>
      </c>
      <c r="AY496">
        <f t="shared" si="447"/>
        <v>1.3382488034563373</v>
      </c>
      <c r="AZ496" t="str">
        <f t="shared" si="423"/>
        <v>1+999,502294011571i</v>
      </c>
      <c r="BA496">
        <f t="shared" si="448"/>
        <v>999.50279426042266</v>
      </c>
      <c r="BB496">
        <f t="shared" si="449"/>
        <v>1.569795829174905</v>
      </c>
      <c r="BC496" s="41" t="str">
        <f t="shared" si="450"/>
        <v>-0,0702169953416856+0,297812571488662i</v>
      </c>
      <c r="BD496">
        <f t="shared" si="451"/>
        <v>-10.286185870507845</v>
      </c>
      <c r="BE496" s="43">
        <f t="shared" si="452"/>
        <v>103.26666733248103</v>
      </c>
      <c r="BF496" s="41" t="str">
        <f t="shared" si="453"/>
        <v>0,115663610298542-1,48995917599079i</v>
      </c>
      <c r="BG496" s="20">
        <f t="shared" si="454"/>
        <v>3.4895803678679616</v>
      </c>
      <c r="BH496" s="43">
        <f t="shared" si="455"/>
        <v>-85.561104787528294</v>
      </c>
      <c r="BI496" s="41" t="str">
        <f t="shared" si="409"/>
        <v>2,92987259503269+1,35582260245337i</v>
      </c>
      <c r="BJ496" s="20">
        <f t="shared" si="456"/>
        <v>10.179680849255561</v>
      </c>
      <c r="BK496" s="43">
        <f t="shared" si="410"/>
        <v>24.832727599866562</v>
      </c>
      <c r="BL496">
        <f t="shared" si="457"/>
        <v>3.4895803678679616</v>
      </c>
      <c r="BM496" s="43">
        <f t="shared" si="458"/>
        <v>-85.561104787528294</v>
      </c>
    </row>
    <row r="497" spans="14:65" x14ac:dyDescent="0.25">
      <c r="N497" s="9">
        <v>79</v>
      </c>
      <c r="O497" s="34">
        <f t="shared" si="459"/>
        <v>616595.00186148309</v>
      </c>
      <c r="P497" s="33" t="str">
        <f t="shared" si="411"/>
        <v>54,631621870174</v>
      </c>
      <c r="Q497" s="4" t="str">
        <f t="shared" si="412"/>
        <v>1+15441,0318239674i</v>
      </c>
      <c r="R497" s="4">
        <f t="shared" si="424"/>
        <v>15441.031856348654</v>
      </c>
      <c r="S497" s="4">
        <f t="shared" si="425"/>
        <v>1.5707315642835566</v>
      </c>
      <c r="T497" s="4" t="str">
        <f t="shared" si="413"/>
        <v>1+193,709032808822i</v>
      </c>
      <c r="U497" s="4">
        <f t="shared" si="426"/>
        <v>193.71161398256245</v>
      </c>
      <c r="V497" s="4">
        <f t="shared" si="427"/>
        <v>1.565633990778623</v>
      </c>
      <c r="W497" t="str">
        <f t="shared" si="414"/>
        <v>1-15,4166775698261i</v>
      </c>
      <c r="X497" s="4">
        <f t="shared" si="428"/>
        <v>15.449075936507631</v>
      </c>
      <c r="Y497" s="4">
        <f t="shared" si="429"/>
        <v>-1.5060222505512466</v>
      </c>
      <c r="Z497" t="str">
        <f t="shared" si="415"/>
        <v>-0,52075758528225+2,1181268073488i</v>
      </c>
      <c r="AA497" s="4">
        <f t="shared" si="430"/>
        <v>2.1812037123200163</v>
      </c>
      <c r="AB497" s="4">
        <f t="shared" si="431"/>
        <v>1.8118724819032794</v>
      </c>
      <c r="AC497" s="47" t="str">
        <f t="shared" si="432"/>
        <v>-4,77468547230031+0,875753220217875i</v>
      </c>
      <c r="AD497" s="20">
        <f t="shared" si="433"/>
        <v>13.722594282728034</v>
      </c>
      <c r="AE497" s="43">
        <f t="shared" si="434"/>
        <v>169.60656551407783</v>
      </c>
      <c r="AF497" t="str">
        <f t="shared" si="416"/>
        <v>171,265703090588</v>
      </c>
      <c r="AG497" t="str">
        <f t="shared" si="417"/>
        <v>1+15293,2608801756i</v>
      </c>
      <c r="AH497">
        <f t="shared" si="435"/>
        <v>15293.260912869739</v>
      </c>
      <c r="AI497">
        <f t="shared" si="436"/>
        <v>1.5707309385165948</v>
      </c>
      <c r="AJ497" t="str">
        <f t="shared" si="418"/>
        <v>1+193,709032808822i</v>
      </c>
      <c r="AK497">
        <f t="shared" si="437"/>
        <v>193.71161398256245</v>
      </c>
      <c r="AL497">
        <f t="shared" si="438"/>
        <v>1.565633990778623</v>
      </c>
      <c r="AM497" t="str">
        <f t="shared" si="419"/>
        <v>1-4,87066101752766i</v>
      </c>
      <c r="AN497">
        <f t="shared" si="439"/>
        <v>4.9722569068445752</v>
      </c>
      <c r="AO497">
        <f t="shared" si="440"/>
        <v>-1.368299346833131</v>
      </c>
      <c r="AP497" s="41" t="str">
        <f t="shared" si="441"/>
        <v>2,11544900514308-10,5769990431635i</v>
      </c>
      <c r="AQ497">
        <f t="shared" si="442"/>
        <v>20.657590463693687</v>
      </c>
      <c r="AR497" s="43">
        <f t="shared" si="443"/>
        <v>-78.689811277830216</v>
      </c>
      <c r="AS497" t="str">
        <f t="shared" si="420"/>
        <v>-0,0000166666666666667</v>
      </c>
      <c r="AT497" t="str">
        <f t="shared" si="421"/>
        <v>0,0128390346945687i</v>
      </c>
      <c r="AU497">
        <f t="shared" si="444"/>
        <v>1.28390346945687E-2</v>
      </c>
      <c r="AV497">
        <f t="shared" si="445"/>
        <v>1.5707963267948966</v>
      </c>
      <c r="AW497" t="str">
        <f t="shared" si="422"/>
        <v>1+4,32075187242852i</v>
      </c>
      <c r="AX497">
        <f t="shared" si="446"/>
        <v>4.4349629923027054</v>
      </c>
      <c r="AY497">
        <f t="shared" si="447"/>
        <v>1.3433595791036561</v>
      </c>
      <c r="AZ497" t="str">
        <f t="shared" si="423"/>
        <v>1+1022,78369323058i</v>
      </c>
      <c r="BA497">
        <f t="shared" si="448"/>
        <v>1022.7841820923832</v>
      </c>
      <c r="BB497">
        <f t="shared" si="449"/>
        <v>1.5698186032664803</v>
      </c>
      <c r="BC497" s="41" t="str">
        <f t="shared" si="450"/>
        <v>-0,0672173842213916+0,291727763325711i</v>
      </c>
      <c r="BD497">
        <f t="shared" si="451"/>
        <v>-10.475792404293067</v>
      </c>
      <c r="BE497" s="43">
        <f t="shared" si="452"/>
        <v>102.9751463171809</v>
      </c>
      <c r="BF497" s="41" t="str">
        <f t="shared" si="453"/>
        <v>0,0654603397684571-1,45177415410444i</v>
      </c>
      <c r="BG497" s="20">
        <f t="shared" si="454"/>
        <v>3.2468018784349555</v>
      </c>
      <c r="BH497" s="43">
        <f t="shared" si="455"/>
        <v>-87.418288168741256</v>
      </c>
      <c r="BI497" s="41" t="str">
        <f t="shared" si="409"/>
        <v>2,94340932498081+1,3280934152936i</v>
      </c>
      <c r="BJ497" s="20">
        <f t="shared" si="456"/>
        <v>10.181798059400615</v>
      </c>
      <c r="BK497" s="43">
        <f t="shared" si="410"/>
        <v>24.285335039350645</v>
      </c>
      <c r="BL497">
        <f t="shared" si="457"/>
        <v>3.2468018784349555</v>
      </c>
      <c r="BM497" s="43">
        <f t="shared" si="458"/>
        <v>-87.418288168741256</v>
      </c>
    </row>
    <row r="498" spans="14:65" x14ac:dyDescent="0.25">
      <c r="N498" s="9">
        <v>80</v>
      </c>
      <c r="O498" s="34">
        <f t="shared" si="459"/>
        <v>630957.34448019415</v>
      </c>
      <c r="P498" s="33" t="str">
        <f t="shared" si="411"/>
        <v>54,631621870174</v>
      </c>
      <c r="Q498" s="4" t="str">
        <f t="shared" si="412"/>
        <v>1+15800,69965905i</v>
      </c>
      <c r="R498" s="4">
        <f t="shared" si="424"/>
        <v>15800.699690694168</v>
      </c>
      <c r="S498" s="4">
        <f t="shared" si="425"/>
        <v>1.5707330384582885</v>
      </c>
      <c r="T498" s="4" t="str">
        <f t="shared" si="413"/>
        <v>1+198,22109581475i</v>
      </c>
      <c r="U498" s="4">
        <f t="shared" si="426"/>
        <v>198.2236182345593</v>
      </c>
      <c r="V498" s="4">
        <f t="shared" si="427"/>
        <v>1.5657514978757425</v>
      </c>
      <c r="W498" t="str">
        <f t="shared" si="414"/>
        <v>1-15,7757781214549i</v>
      </c>
      <c r="X498" s="4">
        <f t="shared" si="428"/>
        <v>15.807440505577588</v>
      </c>
      <c r="Y498" s="4">
        <f t="shared" si="429"/>
        <v>-1.5074927069954678</v>
      </c>
      <c r="Z498" t="str">
        <f t="shared" si="415"/>
        <v>-0,59242868221399+2,16746431872203i</v>
      </c>
      <c r="AA498" s="4">
        <f t="shared" si="430"/>
        <v>2.2469698076393816</v>
      </c>
      <c r="AB498" s="4">
        <f t="shared" si="431"/>
        <v>1.8376074269111107</v>
      </c>
      <c r="AC498" s="47" t="str">
        <f t="shared" si="432"/>
        <v>-4,71714714608074+0,997975355072614i</v>
      </c>
      <c r="AD498" s="20">
        <f t="shared" si="433"/>
        <v>13.663749861835001</v>
      </c>
      <c r="AE498" s="43">
        <f t="shared" si="434"/>
        <v>168.05445902765348</v>
      </c>
      <c r="AF498" t="str">
        <f t="shared" si="416"/>
        <v>171,265703090588</v>
      </c>
      <c r="AG498" t="str">
        <f t="shared" si="417"/>
        <v>1+15649,4866878051i</v>
      </c>
      <c r="AH498">
        <f t="shared" si="435"/>
        <v>15649.486719755028</v>
      </c>
      <c r="AI498">
        <f t="shared" si="436"/>
        <v>1.5707324269355218</v>
      </c>
      <c r="AJ498" t="str">
        <f t="shared" si="418"/>
        <v>1+198,22109581475i</v>
      </c>
      <c r="AK498">
        <f t="shared" si="437"/>
        <v>198.2236182345593</v>
      </c>
      <c r="AL498">
        <f t="shared" si="438"/>
        <v>1.5657514978757425</v>
      </c>
      <c r="AM498" t="str">
        <f t="shared" si="419"/>
        <v>1-4,98411328701109i</v>
      </c>
      <c r="AN498">
        <f t="shared" si="439"/>
        <v>5.0834422646234998</v>
      </c>
      <c r="AO498">
        <f t="shared" si="440"/>
        <v>-1.3727878671058302</v>
      </c>
      <c r="AP498" s="41" t="str">
        <f t="shared" si="441"/>
        <v>2,11544897259266-10,8228596029562i</v>
      </c>
      <c r="AQ498">
        <f t="shared" si="442"/>
        <v>20.849671969602394</v>
      </c>
      <c r="AR498" s="43">
        <f t="shared" si="443"/>
        <v>-78.940337165109611</v>
      </c>
      <c r="AS498" t="str">
        <f t="shared" si="420"/>
        <v>-0,0000166666666666667</v>
      </c>
      <c r="AT498" t="str">
        <f t="shared" si="421"/>
        <v>0,0131380942306016i</v>
      </c>
      <c r="AU498">
        <f t="shared" si="444"/>
        <v>1.31380942306016E-2</v>
      </c>
      <c r="AV498">
        <f t="shared" si="445"/>
        <v>1.5707963267948966</v>
      </c>
      <c r="AW498" t="str">
        <f t="shared" si="422"/>
        <v>1+4,42139511244005i</v>
      </c>
      <c r="AX498">
        <f t="shared" si="446"/>
        <v>4.5330712260352533</v>
      </c>
      <c r="AY498">
        <f t="shared" si="447"/>
        <v>1.3483657293587261</v>
      </c>
      <c r="AZ498" t="str">
        <f t="shared" si="423"/>
        <v>1+1046,60738590188i</v>
      </c>
      <c r="BA498">
        <f t="shared" si="448"/>
        <v>1046.6078636358352</v>
      </c>
      <c r="BB498">
        <f t="shared" si="449"/>
        <v>1.5698408589574209</v>
      </c>
      <c r="BC498" s="41" t="str">
        <f t="shared" si="450"/>
        <v>-0,0643393282506113+0,285738167133069i</v>
      </c>
      <c r="BD498">
        <f t="shared" si="451"/>
        <v>-10.66584344676728</v>
      </c>
      <c r="BE498" s="43">
        <f t="shared" si="452"/>
        <v>102.68959019311812</v>
      </c>
      <c r="BF498" s="41" t="str">
        <f t="shared" si="453"/>
        <v>0,0183384298357006-1,41207804357414i</v>
      </c>
      <c r="BG498" s="20">
        <f t="shared" si="454"/>
        <v>2.997906415067753</v>
      </c>
      <c r="BH498" s="43">
        <f t="shared" si="455"/>
        <v>-89.255950779228385</v>
      </c>
      <c r="BI498" s="41" t="str">
        <f t="shared" ref="BI498:BI560" si="460">IMPRODUCT(AP498,BC498)</f>
        <v>2,95639750024218+1,30080002869704i</v>
      </c>
      <c r="BJ498" s="20">
        <f t="shared" si="456"/>
        <v>10.18382852283511</v>
      </c>
      <c r="BK498" s="43">
        <f t="shared" ref="BK498:BK560" si="461">(180/PI())*IMARGUMENT(BI498)</f>
        <v>23.749253028008532</v>
      </c>
      <c r="BL498">
        <f t="shared" si="457"/>
        <v>2.997906415067753</v>
      </c>
      <c r="BM498" s="43">
        <f t="shared" si="458"/>
        <v>-89.255950779228385</v>
      </c>
    </row>
    <row r="499" spans="14:65" x14ac:dyDescent="0.25">
      <c r="N499" s="9">
        <v>81</v>
      </c>
      <c r="O499" s="34">
        <f t="shared" si="459"/>
        <v>645654.22903465747</v>
      </c>
      <c r="P499" s="33" t="str">
        <f t="shared" si="411"/>
        <v>54,631621870174</v>
      </c>
      <c r="Q499" s="4" t="str">
        <f t="shared" si="412"/>
        <v>1+16168,7452342388i</v>
      </c>
      <c r="R499" s="4">
        <f t="shared" si="424"/>
        <v>16168.745265162659</v>
      </c>
      <c r="S499" s="4">
        <f t="shared" si="425"/>
        <v>1.570734479076707</v>
      </c>
      <c r="T499" s="4" t="str">
        <f t="shared" si="413"/>
        <v>1+202,838258269446i</v>
      </c>
      <c r="U499" s="4">
        <f t="shared" si="426"/>
        <v>202.8407232726764</v>
      </c>
      <c r="V499" s="4">
        <f t="shared" si="427"/>
        <v>1.5658663303193956</v>
      </c>
      <c r="W499" t="str">
        <f t="shared" si="414"/>
        <v>1-16,1432431994608i</v>
      </c>
      <c r="X499" s="4">
        <f t="shared" si="428"/>
        <v>16.174186254551955</v>
      </c>
      <c r="Y499" s="4">
        <f t="shared" si="429"/>
        <v>-1.5089299566929542</v>
      </c>
      <c r="Z499" t="str">
        <f t="shared" si="415"/>
        <v>-0,66747753388135+2,21795104836684i</v>
      </c>
      <c r="AA499" s="4">
        <f t="shared" si="430"/>
        <v>2.3162109384051992</v>
      </c>
      <c r="AB499" s="4">
        <f t="shared" si="431"/>
        <v>1.8631183200873749</v>
      </c>
      <c r="AC499" s="47" t="str">
        <f t="shared" si="432"/>
        <v>-4,65403431893739+1,11587948114654i</v>
      </c>
      <c r="AD499" s="20">
        <f t="shared" si="433"/>
        <v>13.599345140531208</v>
      </c>
      <c r="AE499" s="43">
        <f t="shared" si="434"/>
        <v>166.51694104828931</v>
      </c>
      <c r="AF499" t="str">
        <f t="shared" si="416"/>
        <v>171,265703090588</v>
      </c>
      <c r="AG499" t="str">
        <f t="shared" si="417"/>
        <v>1+16014,010060422i</v>
      </c>
      <c r="AH499">
        <f t="shared" si="435"/>
        <v>16014.010091644661</v>
      </c>
      <c r="AI499">
        <f t="shared" si="436"/>
        <v>1.5707338814738978</v>
      </c>
      <c r="AJ499" t="str">
        <f t="shared" si="418"/>
        <v>1+202,838258269446i</v>
      </c>
      <c r="AK499">
        <f t="shared" si="437"/>
        <v>202.8407232726764</v>
      </c>
      <c r="AL499">
        <f t="shared" si="438"/>
        <v>1.5658663303193956</v>
      </c>
      <c r="AM499" t="str">
        <f t="shared" si="419"/>
        <v>1-5,10020819933186i</v>
      </c>
      <c r="AN499">
        <f t="shared" si="439"/>
        <v>5.1973188930959333</v>
      </c>
      <c r="AO499">
        <f t="shared" si="440"/>
        <v>-1.3771820418674019</v>
      </c>
      <c r="AP499" s="41" t="str">
        <f t="shared" si="441"/>
        <v>2,11544894150725-11,0744585861678i</v>
      </c>
      <c r="AQ499">
        <f t="shared" si="442"/>
        <v>21.042096382628635</v>
      </c>
      <c r="AR499" s="43">
        <f t="shared" si="443"/>
        <v>-79.185608757928179</v>
      </c>
      <c r="AS499" t="str">
        <f t="shared" si="420"/>
        <v>-0,0000166666666666667</v>
      </c>
      <c r="AT499" t="str">
        <f t="shared" si="421"/>
        <v>0,0134441197580989i</v>
      </c>
      <c r="AU499">
        <f t="shared" si="444"/>
        <v>1.3444119758098901E-2</v>
      </c>
      <c r="AV499">
        <f t="shared" si="445"/>
        <v>1.5707963267948966</v>
      </c>
      <c r="AW499" t="str">
        <f t="shared" si="422"/>
        <v>1+4,52438263466429i</v>
      </c>
      <c r="AX499">
        <f t="shared" si="446"/>
        <v>4.6335772600499263</v>
      </c>
      <c r="AY499">
        <f t="shared" si="447"/>
        <v>1.35326890440323</v>
      </c>
      <c r="AZ499" t="str">
        <f t="shared" si="423"/>
        <v>1+1070,98600366267i</v>
      </c>
      <c r="BA499">
        <f t="shared" si="448"/>
        <v>1070.9864705220775</v>
      </c>
      <c r="BB499">
        <f t="shared" si="449"/>
        <v>1.569862608047901</v>
      </c>
      <c r="BC499" s="41" t="str">
        <f t="shared" si="450"/>
        <v>-0,0615784553220366+0,279844193288979i</v>
      </c>
      <c r="BD499">
        <f t="shared" si="451"/>
        <v>-10.856320942096005</v>
      </c>
      <c r="BE499" s="43">
        <f t="shared" si="452"/>
        <v>102.40990508794692</v>
      </c>
      <c r="BF499" s="41" t="str">
        <f t="shared" si="453"/>
        <v>-0,0256841488332669-1,37111861429682i</v>
      </c>
      <c r="BG499" s="20">
        <f t="shared" si="454"/>
        <v>2.743024198435227</v>
      </c>
      <c r="BH499" s="43">
        <f t="shared" si="455"/>
        <v>-91.073153863763764</v>
      </c>
      <c r="BI499" s="41" t="str">
        <f t="shared" si="460"/>
        <v>2,96885685102768+1,2739441557442i</v>
      </c>
      <c r="BJ499" s="20">
        <f t="shared" si="456"/>
        <v>10.185775440532627</v>
      </c>
      <c r="BK499" s="43">
        <f t="shared" si="461"/>
        <v>23.22429633001877</v>
      </c>
      <c r="BL499">
        <f t="shared" si="457"/>
        <v>2.743024198435227</v>
      </c>
      <c r="BM499" s="43">
        <f t="shared" si="458"/>
        <v>-91.073153863763764</v>
      </c>
    </row>
    <row r="500" spans="14:65" x14ac:dyDescent="0.25">
      <c r="N500" s="9">
        <v>82</v>
      </c>
      <c r="O500" s="34">
        <f t="shared" si="459"/>
        <v>660693.44800759677</v>
      </c>
      <c r="P500" s="33" t="str">
        <f t="shared" si="411"/>
        <v>54,631621870174</v>
      </c>
      <c r="Q500" s="4" t="str">
        <f t="shared" si="412"/>
        <v>1+16545,3636921693i</v>
      </c>
      <c r="R500" s="4">
        <f t="shared" si="424"/>
        <v>16545.363722389247</v>
      </c>
      <c r="S500" s="4">
        <f t="shared" si="425"/>
        <v>1.5707358869026471</v>
      </c>
      <c r="T500" s="4" t="str">
        <f t="shared" si="413"/>
        <v>1+207,562968253558i</v>
      </c>
      <c r="U500" s="4">
        <f t="shared" si="426"/>
        <v>207.56537714712329</v>
      </c>
      <c r="V500" s="4">
        <f t="shared" si="427"/>
        <v>1.5659785489831433</v>
      </c>
      <c r="W500" t="str">
        <f t="shared" si="414"/>
        <v>1-16,5192676386922i</v>
      </c>
      <c r="X500" s="4">
        <f t="shared" si="428"/>
        <v>16.549507645810593</v>
      </c>
      <c r="Y500" s="4">
        <f t="shared" si="429"/>
        <v>-1.5103347379278593</v>
      </c>
      <c r="Z500" t="str">
        <f t="shared" si="415"/>
        <v>-0,74606332896067+2,26961376501553i</v>
      </c>
      <c r="AA500" s="4">
        <f t="shared" si="430"/>
        <v>2.3890912776969921</v>
      </c>
      <c r="AB500" s="4">
        <f t="shared" si="431"/>
        <v>1.8883875173764373</v>
      </c>
      <c r="AC500" s="47" t="str">
        <f t="shared" si="432"/>
        <v>-4,58573137661264+1,22917334398925i</v>
      </c>
      <c r="AD500" s="20">
        <f t="shared" si="433"/>
        <v>13.529500459714834</v>
      </c>
      <c r="AE500" s="43">
        <f t="shared" si="434"/>
        <v>164.99498364937406</v>
      </c>
      <c r="AF500" t="str">
        <f t="shared" si="416"/>
        <v>171,265703090588</v>
      </c>
      <c r="AG500" t="str">
        <f t="shared" si="417"/>
        <v>1+16387,0242731433i</v>
      </c>
      <c r="AH500">
        <f t="shared" si="435"/>
        <v>16387.024303655246</v>
      </c>
      <c r="AI500">
        <f t="shared" si="436"/>
        <v>1.5707353029029385</v>
      </c>
      <c r="AJ500" t="str">
        <f t="shared" si="418"/>
        <v>1+207,562968253558i</v>
      </c>
      <c r="AK500">
        <f t="shared" si="437"/>
        <v>207.56537714712329</v>
      </c>
      <c r="AL500">
        <f t="shared" si="438"/>
        <v>1.5659785489831433</v>
      </c>
      <c r="AM500" t="str">
        <f t="shared" si="419"/>
        <v>1-5,21900730954912i</v>
      </c>
      <c r="AN500">
        <f t="shared" si="439"/>
        <v>5.3139474307831787</v>
      </c>
      <c r="AO500">
        <f t="shared" si="440"/>
        <v>-1.3814835218741544</v>
      </c>
      <c r="AP500" s="41" t="str">
        <f t="shared" si="441"/>
        <v>2,11544891182093-11,3319293939094i</v>
      </c>
      <c r="AQ500">
        <f t="shared" si="442"/>
        <v>21.234849412864101</v>
      </c>
      <c r="AR500" s="43">
        <f t="shared" si="443"/>
        <v>-79.42571719404458</v>
      </c>
      <c r="AS500" t="str">
        <f t="shared" si="420"/>
        <v>-0,0000166666666666667</v>
      </c>
      <c r="AT500" t="str">
        <f t="shared" si="421"/>
        <v>0,0137572735358458i</v>
      </c>
      <c r="AU500">
        <f t="shared" si="444"/>
        <v>1.37572735358458E-2</v>
      </c>
      <c r="AV500">
        <f t="shared" si="445"/>
        <v>1.5707963267948966</v>
      </c>
      <c r="AW500" t="str">
        <f t="shared" si="422"/>
        <v>1+4,62976904444869i</v>
      </c>
      <c r="AX500">
        <f t="shared" si="446"/>
        <v>4.7365347465140939</v>
      </c>
      <c r="AY500">
        <f t="shared" si="447"/>
        <v>1.358070760514382</v>
      </c>
      <c r="AZ500" t="str">
        <f t="shared" si="423"/>
        <v>1+1095,93247237878i</v>
      </c>
      <c r="BA500">
        <f t="shared" si="448"/>
        <v>1095.9329286111745</v>
      </c>
      <c r="BB500">
        <f t="shared" si="449"/>
        <v>1.5698838620694935</v>
      </c>
      <c r="BC500" s="41" t="str">
        <f t="shared" si="450"/>
        <v>-0,058930503682585+0,274046102081282i</v>
      </c>
      <c r="BD500">
        <f t="shared" si="451"/>
        <v>-11.047207487493347</v>
      </c>
      <c r="BE500" s="43">
        <f t="shared" si="452"/>
        <v>102.1359967646838</v>
      </c>
      <c r="BF500" s="41" t="str">
        <f t="shared" si="453"/>
        <v>-0,066610703925652-1,32913761322702i</v>
      </c>
      <c r="BG500" s="20">
        <f t="shared" si="454"/>
        <v>2.4822929722214955</v>
      </c>
      <c r="BH500" s="43">
        <f t="shared" si="455"/>
        <v>-92.869019585942141</v>
      </c>
      <c r="BI500" s="41" t="str">
        <f t="shared" si="460"/>
        <v>2,98080660957279+1,24752683531519i</v>
      </c>
      <c r="BJ500" s="20">
        <f t="shared" si="456"/>
        <v>10.187641925370754</v>
      </c>
      <c r="BK500" s="43">
        <f t="shared" si="461"/>
        <v>22.710279570639287</v>
      </c>
      <c r="BL500">
        <f t="shared" si="457"/>
        <v>2.4822929722214955</v>
      </c>
      <c r="BM500" s="43">
        <f t="shared" si="458"/>
        <v>-92.869019585942141</v>
      </c>
    </row>
    <row r="501" spans="14:65" x14ac:dyDescent="0.25">
      <c r="N501" s="9">
        <v>83</v>
      </c>
      <c r="O501" s="34">
        <f t="shared" si="459"/>
        <v>676082.97539198259</v>
      </c>
      <c r="P501" s="33" t="str">
        <f t="shared" si="411"/>
        <v>54,631621870174</v>
      </c>
      <c r="Q501" s="4" t="str">
        <f t="shared" si="412"/>
        <v>1+16930,7547209333i</v>
      </c>
      <c r="R501" s="4">
        <f t="shared" si="424"/>
        <v>16930.754750465356</v>
      </c>
      <c r="S501" s="4">
        <f t="shared" si="425"/>
        <v>1.5707372626825566</v>
      </c>
      <c r="T501" s="4" t="str">
        <f t="shared" si="413"/>
        <v>1+212,397730870858i</v>
      </c>
      <c r="U501" s="4">
        <f t="shared" si="426"/>
        <v>212.4000849319261</v>
      </c>
      <c r="V501" s="4">
        <f t="shared" si="427"/>
        <v>1.5660882133554941</v>
      </c>
      <c r="W501" t="str">
        <f t="shared" si="414"/>
        <v>1-16,904050812284i</v>
      </c>
      <c r="X501" s="4">
        <f t="shared" si="428"/>
        <v>16.933603688060007</v>
      </c>
      <c r="Y501" s="4">
        <f t="shared" si="429"/>
        <v>-1.5117077733435882</v>
      </c>
      <c r="Z501" t="str">
        <f t="shared" si="415"/>
        <v>-0,82835275845951+2,32247986092433i</v>
      </c>
      <c r="AA501" s="4">
        <f t="shared" si="430"/>
        <v>2.4657820254123388</v>
      </c>
      <c r="AB501" s="4">
        <f t="shared" si="431"/>
        <v>1.9133984950079721</v>
      </c>
      <c r="AC501" s="47" t="str">
        <f t="shared" si="432"/>
        <v>-4,51263846682784+1,33760438900957i</v>
      </c>
      <c r="AD501" s="20">
        <f t="shared" si="433"/>
        <v>13.454343399926858</v>
      </c>
      <c r="AE501" s="43">
        <f t="shared" si="434"/>
        <v>163.48949553446406</v>
      </c>
      <c r="AF501" t="str">
        <f t="shared" si="416"/>
        <v>171,265703090588</v>
      </c>
      <c r="AG501" t="str">
        <f t="shared" si="417"/>
        <v>1+16768,7271030421i</v>
      </c>
      <c r="AH501">
        <f t="shared" si="435"/>
        <v>16768.727132859509</v>
      </c>
      <c r="AI501">
        <f t="shared" si="436"/>
        <v>1.5707366919763042</v>
      </c>
      <c r="AJ501" t="str">
        <f t="shared" si="418"/>
        <v>1+212,397730870858i</v>
      </c>
      <c r="AK501">
        <f t="shared" si="437"/>
        <v>212.4000849319261</v>
      </c>
      <c r="AL501">
        <f t="shared" si="438"/>
        <v>1.5660882133554941</v>
      </c>
      <c r="AM501" t="str">
        <f t="shared" si="419"/>
        <v>1-5,34057360652365i</v>
      </c>
      <c r="AN501">
        <f t="shared" si="439"/>
        <v>5.4333899590124242</v>
      </c>
      <c r="AO501">
        <f t="shared" si="440"/>
        <v>-1.3856939508078931</v>
      </c>
      <c r="AP501" s="41" t="str">
        <f t="shared" si="441"/>
        <v>2,1154488834707-11,5954085406113i</v>
      </c>
      <c r="AQ501">
        <f t="shared" si="442"/>
        <v>21.427917318294092</v>
      </c>
      <c r="AR501" s="43">
        <f t="shared" si="443"/>
        <v>-79.660753284230239</v>
      </c>
      <c r="AS501" t="str">
        <f t="shared" si="420"/>
        <v>-0,0000166666666666667</v>
      </c>
      <c r="AT501" t="str">
        <f t="shared" si="421"/>
        <v>0,0140777216021205i</v>
      </c>
      <c r="AU501">
        <f t="shared" si="444"/>
        <v>1.4077721602120501E-2</v>
      </c>
      <c r="AV501">
        <f t="shared" si="445"/>
        <v>1.5707963267948966</v>
      </c>
      <c r="AW501" t="str">
        <f t="shared" si="422"/>
        <v>1+4,73761021906271i</v>
      </c>
      <c r="AX501">
        <f t="shared" si="446"/>
        <v>4.8419986150108949</v>
      </c>
      <c r="AY501">
        <f t="shared" si="447"/>
        <v>1.362772957530431</v>
      </c>
      <c r="AZ501" t="str">
        <f t="shared" si="423"/>
        <v>1+1121,46001899813i</v>
      </c>
      <c r="BA501">
        <f t="shared" si="448"/>
        <v>1121.4604648454113</v>
      </c>
      <c r="BB501">
        <f t="shared" si="449"/>
        <v>1.5699046322912855</v>
      </c>
      <c r="BC501" s="41" t="str">
        <f t="shared" si="450"/>
        <v>-0,0563913233530666+0,268344013482136i</v>
      </c>
      <c r="BD501">
        <f t="shared" si="451"/>
        <v>-11.238486316415592</v>
      </c>
      <c r="BE501" s="43">
        <f t="shared" si="452"/>
        <v>101.86777076727338</v>
      </c>
      <c r="BF501" s="41" t="str">
        <f t="shared" si="453"/>
        <v>-0,104464475239773-1,28636879920158i</v>
      </c>
      <c r="BG501" s="20">
        <f t="shared" si="454"/>
        <v>2.215857083511299</v>
      </c>
      <c r="BH501" s="43">
        <f t="shared" si="455"/>
        <v>-94.642733698262575</v>
      </c>
      <c r="BI501" s="41" t="str">
        <f t="shared" si="460"/>
        <v>2,99226550372799+1,22154847613135i</v>
      </c>
      <c r="BJ501" s="20">
        <f t="shared" si="456"/>
        <v>10.189431001878493</v>
      </c>
      <c r="BK501" s="43">
        <f t="shared" si="461"/>
        <v>22.207017483043131</v>
      </c>
      <c r="BL501">
        <f t="shared" si="457"/>
        <v>2.215857083511299</v>
      </c>
      <c r="BM501" s="43">
        <f t="shared" si="458"/>
        <v>-94.642733698262575</v>
      </c>
    </row>
    <row r="502" spans="14:65" x14ac:dyDescent="0.25">
      <c r="N502" s="9">
        <v>84</v>
      </c>
      <c r="O502" s="34">
        <f t="shared" si="459"/>
        <v>691830.97091893724</v>
      </c>
      <c r="P502" s="33" t="str">
        <f t="shared" si="411"/>
        <v>54,631621870174</v>
      </c>
      <c r="Q502" s="4" t="str">
        <f t="shared" si="412"/>
        <v>1+17325,1226599553i</v>
      </c>
      <c r="R502" s="4">
        <f t="shared" si="424"/>
        <v>17325.122688815125</v>
      </c>
      <c r="S502" s="4">
        <f t="shared" si="425"/>
        <v>1.5707386071458922</v>
      </c>
      <c r="T502" s="4" t="str">
        <f t="shared" si="413"/>
        <v>1+217,345109576483i</v>
      </c>
      <c r="U502" s="4">
        <f t="shared" si="426"/>
        <v>217.34741005315288</v>
      </c>
      <c r="V502" s="4">
        <f t="shared" si="427"/>
        <v>1.5661953815713934</v>
      </c>
      <c r="W502" t="str">
        <f t="shared" si="414"/>
        <v>1-17,297796737368i</v>
      </c>
      <c r="X502" s="4">
        <f t="shared" si="428"/>
        <v>17.326678041889593</v>
      </c>
      <c r="Y502" s="4">
        <f t="shared" si="429"/>
        <v>-1.5130497702221313</v>
      </c>
      <c r="Z502" t="str">
        <f t="shared" si="415"/>
        <v>-0,91452036929056+2,37657736639705i</v>
      </c>
      <c r="AA502" s="4">
        <f t="shared" si="430"/>
        <v>2.5464617578746558</v>
      </c>
      <c r="AB502" s="4">
        <f t="shared" si="431"/>
        <v>1.9381358860812719</v>
      </c>
      <c r="AC502" s="47" t="str">
        <f t="shared" si="432"/>
        <v>-4,43516690336111+1,44096012385611i</v>
      </c>
      <c r="AD502" s="20">
        <f t="shared" si="433"/>
        <v>13.374007831303068</v>
      </c>
      <c r="AE502" s="43">
        <f t="shared" si="434"/>
        <v>162.00131992693309</v>
      </c>
      <c r="AF502" t="str">
        <f t="shared" si="416"/>
        <v>171,265703090588</v>
      </c>
      <c r="AG502" t="str">
        <f t="shared" si="417"/>
        <v>1+17159,3209340113i</v>
      </c>
      <c r="AH502">
        <f t="shared" si="435"/>
        <v>17159.320963149981</v>
      </c>
      <c r="AI502">
        <f t="shared" si="436"/>
        <v>1.5707380494305001</v>
      </c>
      <c r="AJ502" t="str">
        <f t="shared" si="418"/>
        <v>1+217,345109576483i</v>
      </c>
      <c r="AK502">
        <f t="shared" si="437"/>
        <v>217.34741005315288</v>
      </c>
      <c r="AL502">
        <f t="shared" si="438"/>
        <v>1.5661953815713934</v>
      </c>
      <c r="AM502" t="str">
        <f t="shared" si="419"/>
        <v>1-5,4649715463152i</v>
      </c>
      <c r="AN502">
        <f t="shared" si="439"/>
        <v>5.5557100358131315</v>
      </c>
      <c r="AO502">
        <f t="shared" si="440"/>
        <v>-1.3898149636735244</v>
      </c>
      <c r="AP502" s="41" t="str">
        <f t="shared" si="441"/>
        <v>2,11544885639645-11,8650357264047i</v>
      </c>
      <c r="AQ502">
        <f t="shared" si="442"/>
        <v>21.621286887860379</v>
      </c>
      <c r="AR502" s="43">
        <f t="shared" si="443"/>
        <v>-79.890807418677383</v>
      </c>
      <c r="AS502" t="str">
        <f t="shared" si="420"/>
        <v>-0,0000166666666666667</v>
      </c>
      <c r="AT502" t="str">
        <f t="shared" si="421"/>
        <v>0,0144056338627293i</v>
      </c>
      <c r="AU502">
        <f t="shared" si="444"/>
        <v>1.44056338627293E-2</v>
      </c>
      <c r="AV502">
        <f t="shared" si="445"/>
        <v>1.5707963267948966</v>
      </c>
      <c r="AW502" t="str">
        <f t="shared" si="422"/>
        <v>1+4,84796333732456i</v>
      </c>
      <c r="AX502">
        <f t="shared" si="446"/>
        <v>4.9500251029710025</v>
      </c>
      <c r="AY502">
        <f t="shared" si="447"/>
        <v>1.3673771564833461</v>
      </c>
      <c r="AZ502" t="str">
        <f t="shared" si="423"/>
        <v>1+1147,58217856383i</v>
      </c>
      <c r="BA502">
        <f t="shared" si="448"/>
        <v>1147.5826142623919</v>
      </c>
      <c r="BB502">
        <f t="shared" si="449"/>
        <v>1.5699249297258515</v>
      </c>
      <c r="BC502" s="41" t="str">
        <f t="shared" si="450"/>
        <v>-0,0539568770625874+0,262737916555839i</v>
      </c>
      <c r="BD502">
        <f t="shared" si="451"/>
        <v>-11.43014128157648</v>
      </c>
      <c r="BE502" s="43">
        <f t="shared" si="452"/>
        <v>101.60513255656836</v>
      </c>
      <c r="BF502" s="41" t="str">
        <f t="shared" si="453"/>
        <v>-0,139287105425286-1,24303622002151i</v>
      </c>
      <c r="BG502" s="20">
        <f t="shared" si="454"/>
        <v>1.9438665497266192</v>
      </c>
      <c r="BH502" s="43">
        <f t="shared" si="455"/>
        <v>-96.393547516498501</v>
      </c>
      <c r="BI502" s="41" t="str">
        <f t="shared" si="460"/>
        <v>3,00325175273939+1,19600889914286i</v>
      </c>
      <c r="BJ502" s="20">
        <f t="shared" si="456"/>
        <v>10.191145606283897</v>
      </c>
      <c r="BK502" s="43">
        <f t="shared" si="461"/>
        <v>21.714325137890977</v>
      </c>
      <c r="BL502">
        <f t="shared" si="457"/>
        <v>1.9438665497266192</v>
      </c>
      <c r="BM502" s="43">
        <f t="shared" si="458"/>
        <v>-96.393547516498501</v>
      </c>
    </row>
    <row r="503" spans="14:65" x14ac:dyDescent="0.25">
      <c r="N503" s="9">
        <v>85</v>
      </c>
      <c r="O503" s="34">
        <f t="shared" si="459"/>
        <v>707945.78438413853</v>
      </c>
      <c r="P503" s="33" t="str">
        <f t="shared" si="411"/>
        <v>54,631621870174</v>
      </c>
      <c r="Q503" s="4" t="str">
        <f t="shared" si="412"/>
        <v>1+17728,6766083368i</v>
      </c>
      <c r="R503" s="4">
        <f t="shared" si="424"/>
        <v>17728.676636539691</v>
      </c>
      <c r="S503" s="4">
        <f t="shared" si="425"/>
        <v>1.5707399210055062</v>
      </c>
      <c r="T503" s="4" t="str">
        <f t="shared" si="413"/>
        <v>1+222,407727536108i</v>
      </c>
      <c r="U503" s="4">
        <f t="shared" si="426"/>
        <v>222.40997564807128</v>
      </c>
      <c r="V503" s="4">
        <f t="shared" si="427"/>
        <v>1.5663001104429952</v>
      </c>
      <c r="W503" t="str">
        <f t="shared" si="414"/>
        <v>1-17,7007141832456i</v>
      </c>
      <c r="X503" s="4">
        <f t="shared" si="428"/>
        <v>17.728939127791939</v>
      </c>
      <c r="Y503" s="4">
        <f t="shared" si="429"/>
        <v>-1.5143614207620493</v>
      </c>
      <c r="Z503" t="str">
        <f t="shared" si="415"/>
        <v>-1,0047489345091+2,43193496464716i</v>
      </c>
      <c r="AA503" s="4">
        <f t="shared" si="430"/>
        <v>2.631316798424423</v>
      </c>
      <c r="AB503" s="4">
        <f t="shared" si="431"/>
        <v>1.9625855051379408</v>
      </c>
      <c r="AC503" s="47" t="str">
        <f t="shared" si="432"/>
        <v>-4,35373471095672+1,53906790945751i</v>
      </c>
      <c r="AD503" s="20">
        <f t="shared" si="433"/>
        <v>13.288632963258745</v>
      </c>
      <c r="AE503" s="43">
        <f t="shared" si="434"/>
        <v>160.53123314787524</v>
      </c>
      <c r="AF503" t="str">
        <f t="shared" si="416"/>
        <v>171,265703090588</v>
      </c>
      <c r="AG503" t="str">
        <f t="shared" si="417"/>
        <v>1+17559,0128640703i</v>
      </c>
      <c r="AH503">
        <f t="shared" si="435"/>
        <v>17559.012892545703</v>
      </c>
      <c r="AI503">
        <f t="shared" si="436"/>
        <v>1.5707393759852661</v>
      </c>
      <c r="AJ503" t="str">
        <f t="shared" si="418"/>
        <v>1+222,407727536108i</v>
      </c>
      <c r="AK503">
        <f t="shared" si="437"/>
        <v>222.40997564807128</v>
      </c>
      <c r="AL503">
        <f t="shared" si="438"/>
        <v>1.5663001104429952</v>
      </c>
      <c r="AM503" t="str">
        <f t="shared" si="419"/>
        <v>1-5,59226708635807i</v>
      </c>
      <c r="AN503">
        <f t="shared" si="439"/>
        <v>5.6809727305421713</v>
      </c>
      <c r="AO503">
        <f t="shared" si="440"/>
        <v>-1.3938481853235909</v>
      </c>
      <c r="AP503" s="41" t="str">
        <f t="shared" si="441"/>
        <v>2,11544883054073-12,1409539111923i</v>
      </c>
      <c r="AQ503">
        <f t="shared" si="442"/>
        <v>21.814945424686812</v>
      </c>
      <c r="AR503" s="43">
        <f t="shared" si="443"/>
        <v>-80.115969480720395</v>
      </c>
      <c r="AS503" t="str">
        <f t="shared" si="420"/>
        <v>-0,0000166666666666667</v>
      </c>
      <c r="AT503" t="str">
        <f t="shared" si="421"/>
        <v>0,0147411841810932i</v>
      </c>
      <c r="AU503">
        <f t="shared" si="444"/>
        <v>1.47411841810932E-2</v>
      </c>
      <c r="AV503">
        <f t="shared" si="445"/>
        <v>1.5707963267948966</v>
      </c>
      <c r="AW503" t="str">
        <f t="shared" si="422"/>
        <v>1+4,96088690991824i</v>
      </c>
      <c r="AX503">
        <f t="shared" si="446"/>
        <v>5.0606717867293218</v>
      </c>
      <c r="AY503">
        <f t="shared" si="447"/>
        <v>1.3718850173922588</v>
      </c>
      <c r="AZ503" t="str">
        <f t="shared" si="423"/>
        <v>1+1174,31280139065i</v>
      </c>
      <c r="BA503">
        <f t="shared" si="448"/>
        <v>1174.3132271715056</v>
      </c>
      <c r="BB503">
        <f t="shared" si="449"/>
        <v>1.5699447651350931</v>
      </c>
      <c r="BC503" s="41" t="str">
        <f t="shared" si="450"/>
        <v>-0,0516232407410098+0,257227678493957i</v>
      </c>
      <c r="BD503">
        <f t="shared" si="451"/>
        <v>-11.622156837855313</v>
      </c>
      <c r="BE503" s="43">
        <f t="shared" si="452"/>
        <v>101.3479876370901</v>
      </c>
      <c r="BF503" s="41" t="str">
        <f t="shared" si="453"/>
        <v>-0,171136970288093-1,19935274568464i</v>
      </c>
      <c r="BG503" s="20">
        <f t="shared" si="454"/>
        <v>1.6664761254034077</v>
      </c>
      <c r="BH503" s="43">
        <f t="shared" si="455"/>
        <v>-98.120779215034659</v>
      </c>
      <c r="BI503" s="41" t="str">
        <f t="shared" si="460"/>
        <v>3,01378306502383+1,17090737823573i</v>
      </c>
      <c r="BJ503" s="20">
        <f t="shared" si="456"/>
        <v>10.192788586831497</v>
      </c>
      <c r="BK503" s="43">
        <f t="shared" si="461"/>
        <v>21.232018156369691</v>
      </c>
      <c r="BL503">
        <f t="shared" si="457"/>
        <v>1.6664761254034077</v>
      </c>
      <c r="BM503" s="43">
        <f t="shared" si="458"/>
        <v>-98.120779215034659</v>
      </c>
    </row>
    <row r="504" spans="14:65" x14ac:dyDescent="0.25">
      <c r="N504" s="9">
        <v>86</v>
      </c>
      <c r="O504" s="34">
        <f t="shared" si="459"/>
        <v>724435.96007499192</v>
      </c>
      <c r="P504" s="33" t="str">
        <f t="shared" si="411"/>
        <v>54,631621870174</v>
      </c>
      <c r="Q504" s="4" t="str">
        <f t="shared" si="412"/>
        <v>1+18141,6305357228i</v>
      </c>
      <c r="R504" s="4">
        <f t="shared" si="424"/>
        <v>18141.630563283717</v>
      </c>
      <c r="S504" s="4">
        <f t="shared" si="425"/>
        <v>1.5707412049580243</v>
      </c>
      <c r="T504" s="4" t="str">
        <f t="shared" si="413"/>
        <v>1+227,588269016786i</v>
      </c>
      <c r="U504" s="4">
        <f t="shared" si="426"/>
        <v>227.59046595597312</v>
      </c>
      <c r="V504" s="4">
        <f t="shared" si="427"/>
        <v>1.5664024554897389</v>
      </c>
      <c r="W504" t="str">
        <f t="shared" si="414"/>
        <v>1-18,1130167820798i</v>
      </c>
      <c r="X504" s="4">
        <f t="shared" si="428"/>
        <v>18.140600236703978</v>
      </c>
      <c r="Y504" s="4">
        <f t="shared" si="429"/>
        <v>-1.5156434023548104</v>
      </c>
      <c r="Z504" t="str">
        <f t="shared" si="415"/>
        <v>-1,09922984099911+2,48858200700598i</v>
      </c>
      <c r="AA504" s="4">
        <f t="shared" si="430"/>
        <v>2.72054160948456</v>
      </c>
      <c r="AB504" s="4">
        <f t="shared" si="431"/>
        <v>1.98673436121962</v>
      </c>
      <c r="AC504" s="47" t="str">
        <f t="shared" si="432"/>
        <v>-4,26876238341339+1,63179422751183i</v>
      </c>
      <c r="AD504" s="20">
        <f t="shared" si="433"/>
        <v>13.198362406265735</v>
      </c>
      <c r="AE504" s="43">
        <f t="shared" si="434"/>
        <v>159.07994385381969</v>
      </c>
      <c r="AF504" t="str">
        <f t="shared" si="416"/>
        <v>171,265703090588</v>
      </c>
      <c r="AG504" t="str">
        <f t="shared" si="417"/>
        <v>1+17968,0148151707i</v>
      </c>
      <c r="AH504">
        <f t="shared" si="435"/>
        <v>17968.014842997924</v>
      </c>
      <c r="AI504">
        <f t="shared" si="436"/>
        <v>1.5707406723439596</v>
      </c>
      <c r="AJ504" t="str">
        <f t="shared" si="418"/>
        <v>1+227,588269016786i</v>
      </c>
      <c r="AK504">
        <f t="shared" si="437"/>
        <v>227.59046595597312</v>
      </c>
      <c r="AL504">
        <f t="shared" si="438"/>
        <v>1.5664024554897389</v>
      </c>
      <c r="AM504" t="str">
        <f t="shared" si="419"/>
        <v>1-5,72252772043254i</v>
      </c>
      <c r="AN504">
        <f t="shared" si="439"/>
        <v>5.8092446592581064</v>
      </c>
      <c r="AO504">
        <f t="shared" si="440"/>
        <v>-1.3977952291034279</v>
      </c>
      <c r="AP504" s="41" t="str">
        <f>(IMDIV(IMPRODUCT(AF504,AJ504,AM504),IMPRODUCT(AG504)))</f>
        <v>2,11544880584872-12,4233093904481i</v>
      </c>
      <c r="AQ504">
        <f t="shared" si="442"/>
        <v>22.008880729504305</v>
      </c>
      <c r="AR504" s="43">
        <f t="shared" si="443"/>
        <v>-80.336328767507752</v>
      </c>
      <c r="AS504" t="str">
        <f t="shared" si="420"/>
        <v>-0,0000166666666666667</v>
      </c>
      <c r="AT504" t="str">
        <f t="shared" si="421"/>
        <v>0,0150845504704326i</v>
      </c>
      <c r="AU504">
        <f t="shared" si="444"/>
        <v>1.50845504704326E-2</v>
      </c>
      <c r="AV504">
        <f t="shared" si="445"/>
        <v>1.5707963267948966</v>
      </c>
      <c r="AW504" t="str">
        <f t="shared" si="422"/>
        <v>1+5,07644081041667i</v>
      </c>
      <c r="AX504">
        <f t="shared" si="446"/>
        <v>5.1739976132255654</v>
      </c>
      <c r="AY504">
        <f t="shared" si="447"/>
        <v>1.3762981972111215</v>
      </c>
      <c r="AZ504" t="str">
        <f t="shared" si="423"/>
        <v>1+1201,66606040863i</v>
      </c>
      <c r="BA504">
        <f t="shared" si="448"/>
        <v>1201.6664764975335</v>
      </c>
      <c r="BB504">
        <f t="shared" si="449"/>
        <v>1.5699641490359442</v>
      </c>
      <c r="BC504" s="41" t="str">
        <f t="shared" si="450"/>
        <v>-0,0493866036106014+0,251813053274782i</v>
      </c>
      <c r="BD504">
        <f t="shared" si="451"/>
        <v>-11.814518025161744</v>
      </c>
      <c r="BE504" s="43">
        <f t="shared" si="452"/>
        <v>101.09624167494627</v>
      </c>
      <c r="BF504" s="41" t="str">
        <f t="shared" si="453"/>
        <v>-0,200087411008435-1,15551886416006i</v>
      </c>
      <c r="BG504" s="20">
        <f t="shared" si="454"/>
        <v>1.3838443811040257</v>
      </c>
      <c r="BH504" s="43">
        <f t="shared" si="455"/>
        <v>-99.823814471234016</v>
      </c>
      <c r="BI504" s="41" t="str">
        <f t="shared" si="460"/>
        <v>3,02387663775304+1,14624267924518i</v>
      </c>
      <c r="BJ504" s="20">
        <f t="shared" si="456"/>
        <v>10.194362704342572</v>
      </c>
      <c r="BK504" s="43">
        <f t="shared" si="461"/>
        <v>20.75991290743849</v>
      </c>
      <c r="BL504">
        <f t="shared" si="457"/>
        <v>1.3838443811040257</v>
      </c>
      <c r="BM504" s="43">
        <f t="shared" si="458"/>
        <v>-99.823814471234016</v>
      </c>
    </row>
    <row r="505" spans="14:65" x14ac:dyDescent="0.25">
      <c r="N505" s="9">
        <v>87</v>
      </c>
      <c r="O505" s="34">
        <f t="shared" si="459"/>
        <v>741310.24130091805</v>
      </c>
      <c r="P505" s="33" t="str">
        <f t="shared" si="411"/>
        <v>54,631621870174</v>
      </c>
      <c r="Q505" s="4" t="str">
        <f t="shared" si="412"/>
        <v>1+18564,2033957517i</v>
      </c>
      <c r="R505" s="4">
        <f t="shared" si="424"/>
        <v>18564.203422685256</v>
      </c>
      <c r="S505" s="4">
        <f t="shared" si="425"/>
        <v>1.5707424596842152</v>
      </c>
      <c r="T505" s="4" t="str">
        <f t="shared" si="413"/>
        <v>1+232,889480810184i</v>
      </c>
      <c r="U505" s="4">
        <f t="shared" si="426"/>
        <v>232.89162774139621</v>
      </c>
      <c r="V505" s="4">
        <f t="shared" si="427"/>
        <v>1.566502470967742</v>
      </c>
      <c r="W505" t="str">
        <f t="shared" si="414"/>
        <v>1-18,5349231421659i</v>
      </c>
      <c r="X505" s="4">
        <f t="shared" si="428"/>
        <v>18.561879643128737</v>
      </c>
      <c r="Y505" s="4">
        <f t="shared" si="429"/>
        <v>-1.5168963778592233</v>
      </c>
      <c r="Z505" t="str">
        <f t="shared" si="415"/>
        <v>-1,1981634954305+2,54654852848519i</v>
      </c>
      <c r="AA505" s="4">
        <f t="shared" si="430"/>
        <v>2.8143392065833712</v>
      </c>
      <c r="AB505" s="4">
        <f t="shared" si="431"/>
        <v>2.0105706600766471</v>
      </c>
      <c r="AC505" s="47" t="str">
        <f t="shared" si="432"/>
        <v>-4,18066891545721+1,71904348067152i</v>
      </c>
      <c r="AD505" s="20">
        <f t="shared" si="433"/>
        <v>13.103343256856059</v>
      </c>
      <c r="AE505" s="43">
        <f t="shared" si="434"/>
        <v>157.64809289612379</v>
      </c>
      <c r="AF505" t="str">
        <f t="shared" si="416"/>
        <v>171,265703090588</v>
      </c>
      <c r="AG505" t="str">
        <f t="shared" si="417"/>
        <v>1+18386,5436455609i</v>
      </c>
      <c r="AH505">
        <f t="shared" si="435"/>
        <v>18386.543672754702</v>
      </c>
      <c r="AI505">
        <f t="shared" si="436"/>
        <v>1.5707419391939266</v>
      </c>
      <c r="AJ505" t="str">
        <f t="shared" si="418"/>
        <v>1+232,889480810184i</v>
      </c>
      <c r="AK505">
        <f t="shared" si="437"/>
        <v>232.89162774139621</v>
      </c>
      <c r="AL505">
        <f t="shared" si="438"/>
        <v>1.566502470967742</v>
      </c>
      <c r="AM505" t="str">
        <f t="shared" si="419"/>
        <v>1-5,85582251445095i</v>
      </c>
      <c r="AN505">
        <f t="shared" si="439"/>
        <v>5.9405940208661496</v>
      </c>
      <c r="AO505">
        <f t="shared" si="440"/>
        <v>-1.4016576956107845</v>
      </c>
      <c r="AP505" s="41" t="str">
        <f t="shared" si="441"/>
        <v>2,11544878226803-12,7122518727845i</v>
      </c>
      <c r="AQ505">
        <f t="shared" si="442"/>
        <v>22.203081084305229</v>
      </c>
      <c r="AR505" s="43">
        <f t="shared" si="443"/>
        <v>-80.5519739172708</v>
      </c>
      <c r="AS505" t="str">
        <f t="shared" si="420"/>
        <v>-0,0000166666666666667</v>
      </c>
      <c r="AT505" t="str">
        <f t="shared" si="421"/>
        <v>0,015435914788099i</v>
      </c>
      <c r="AU505">
        <f t="shared" si="444"/>
        <v>1.5435914788098999E-2</v>
      </c>
      <c r="AV505">
        <f t="shared" si="445"/>
        <v>1.5707963267948966</v>
      </c>
      <c r="AW505" t="str">
        <f t="shared" si="422"/>
        <v>1+5,1946863070274i</v>
      </c>
      <c r="AX505">
        <f t="shared" si="446"/>
        <v>5.2900629323683823</v>
      </c>
      <c r="AY505">
        <f t="shared" si="447"/>
        <v>1.3806183479240355</v>
      </c>
      <c r="AZ505" t="str">
        <f t="shared" si="423"/>
        <v>1+1229,65645867777i</v>
      </c>
      <c r="BA505">
        <f t="shared" si="448"/>
        <v>1229.656865295337</v>
      </c>
      <c r="BB505">
        <f t="shared" si="449"/>
        <v>1.5699830917059476</v>
      </c>
      <c r="BC505" s="41" t="str">
        <f t="shared" si="450"/>
        <v>-0,0472432679157494+0,246493689946662i</v>
      </c>
      <c r="BD505">
        <f t="shared" si="451"/>
        <v>-12.007210451313725</v>
      </c>
      <c r="BE505" s="43">
        <f t="shared" si="452"/>
        <v>100.84980060727976</v>
      </c>
      <c r="BF505" s="41" t="str">
        <f t="shared" si="453"/>
        <v>-0,226224909089486-1,11172173913254i</v>
      </c>
      <c r="BG505" s="20">
        <f t="shared" si="454"/>
        <v>1.0961328055423025</v>
      </c>
      <c r="BH505" s="43">
        <f t="shared" si="455"/>
        <v>-101.50210649659653</v>
      </c>
      <c r="BI505" s="41" t="str">
        <f t="shared" si="460"/>
        <v>3,03354915807128+1,12201309727286i</v>
      </c>
      <c r="BJ505" s="20">
        <f t="shared" si="456"/>
        <v>10.195870632991493</v>
      </c>
      <c r="BK505" s="43">
        <f t="shared" si="461"/>
        <v>20.2978266900089</v>
      </c>
      <c r="BL505">
        <f t="shared" si="457"/>
        <v>1.0961328055423025</v>
      </c>
      <c r="BM505" s="43">
        <f t="shared" si="458"/>
        <v>-101.50210649659653</v>
      </c>
    </row>
    <row r="506" spans="14:65" x14ac:dyDescent="0.25">
      <c r="N506" s="9">
        <v>88</v>
      </c>
      <c r="O506" s="34">
        <f t="shared" si="459"/>
        <v>758577.57502918423</v>
      </c>
      <c r="P506" s="33" t="str">
        <f t="shared" si="411"/>
        <v>54,631621870174</v>
      </c>
      <c r="Q506" s="4" t="str">
        <f t="shared" si="412"/>
        <v>1+18996,6192421473i</v>
      </c>
      <c r="R506" s="4">
        <f t="shared" si="424"/>
        <v>18996.61926846777</v>
      </c>
      <c r="S506" s="4">
        <f t="shared" si="425"/>
        <v>1.5707436858493511</v>
      </c>
      <c r="T506" s="4" t="str">
        <f t="shared" si="413"/>
        <v>1+238,314173688965i</v>
      </c>
      <c r="U506" s="4">
        <f t="shared" si="426"/>
        <v>238.31627175049167</v>
      </c>
      <c r="V506" s="4">
        <f t="shared" si="427"/>
        <v>1.5666002098985263</v>
      </c>
      <c r="W506" t="str">
        <f t="shared" si="414"/>
        <v>1-18,9666569638407i</v>
      </c>
      <c r="X506" s="4">
        <f t="shared" si="428"/>
        <v>18.993000720897342</v>
      </c>
      <c r="Y506" s="4">
        <f t="shared" si="429"/>
        <v>-1.518120995873721</v>
      </c>
      <c r="Z506" t="str">
        <f t="shared" si="415"/>
        <v>-1,30175974934864+2,60586526370176i</v>
      </c>
      <c r="AA506" s="4">
        <f t="shared" si="430"/>
        <v>2.9129215948239455</v>
      </c>
      <c r="AB506" s="4">
        <f t="shared" si="431"/>
        <v>2.0340837963307772</v>
      </c>
      <c r="AC506" s="47" t="str">
        <f t="shared" si="432"/>
        <v>-4,08986815662322+1,80075638751382i</v>
      </c>
      <c r="AD506" s="20">
        <f t="shared" si="433"/>
        <v>13.003725215617214</v>
      </c>
      <c r="AE506" s="43">
        <f t="shared" si="434"/>
        <v>156.23625375604038</v>
      </c>
      <c r="AF506" t="str">
        <f t="shared" si="416"/>
        <v>171,265703090588</v>
      </c>
      <c r="AG506" t="str">
        <f t="shared" si="417"/>
        <v>1+18814,8212647667i</v>
      </c>
      <c r="AH506">
        <f t="shared" si="435"/>
        <v>18814.82129134149</v>
      </c>
      <c r="AI506">
        <f t="shared" si="436"/>
        <v>1.5707431772068678</v>
      </c>
      <c r="AJ506" t="str">
        <f t="shared" si="418"/>
        <v>1+238,314173688965i</v>
      </c>
      <c r="AK506">
        <f t="shared" si="437"/>
        <v>238.31627175049167</v>
      </c>
      <c r="AL506">
        <f t="shared" si="438"/>
        <v>1.5666002098985263</v>
      </c>
      <c r="AM506" t="str">
        <f t="shared" si="419"/>
        <v>1-5,99222214307753i</v>
      </c>
      <c r="AN506">
        <f t="shared" si="439"/>
        <v>6.075090634055484</v>
      </c>
      <c r="AO506">
        <f t="shared" si="440"/>
        <v>-1.4054371715639005</v>
      </c>
      <c r="AP506" s="41" t="str">
        <f t="shared" si="441"/>
        <v>2,11544875974865-13,0079345593303i</v>
      </c>
      <c r="AQ506">
        <f t="shared" si="442"/>
        <v>22.397535236256591</v>
      </c>
      <c r="AR506" s="43">
        <f t="shared" si="443"/>
        <v>-80.762992842843957</v>
      </c>
      <c r="AS506" t="str">
        <f t="shared" si="420"/>
        <v>-0,0000166666666666667</v>
      </c>
      <c r="AT506" t="str">
        <f t="shared" si="421"/>
        <v>0,0157954634321046i</v>
      </c>
      <c r="AU506">
        <f t="shared" si="444"/>
        <v>1.5795463432104601E-2</v>
      </c>
      <c r="AV506">
        <f t="shared" si="445"/>
        <v>1.5707963267948966</v>
      </c>
      <c r="AW506" t="str">
        <f t="shared" si="422"/>
        <v>1+5,31568609507793i</v>
      </c>
      <c r="AX506">
        <f t="shared" si="446"/>
        <v>5.4089295300830873</v>
      </c>
      <c r="AY506">
        <f t="shared" si="447"/>
        <v>1.3848471147817112</v>
      </c>
      <c r="AZ506" t="str">
        <f t="shared" si="423"/>
        <v>1+1258,29883707773i</v>
      </c>
      <c r="BA506">
        <f t="shared" si="448"/>
        <v>1258.2992344395541</v>
      </c>
      <c r="BB506">
        <f t="shared" si="449"/>
        <v>1.5700016031887032</v>
      </c>
      <c r="BC506" s="41" t="str">
        <f t="shared" si="450"/>
        <v>-0,0451896483273508+0,24126914053682i</v>
      </c>
      <c r="BD506">
        <f t="shared" si="451"/>
        <v>-12.20022027498243</v>
      </c>
      <c r="BE506" s="43">
        <f t="shared" si="452"/>
        <v>100.60857074362463</v>
      </c>
      <c r="BF506" s="41" t="str">
        <f t="shared" si="453"/>
        <v>-0,249647242228614-1,06813452293237i</v>
      </c>
      <c r="BG506" s="20">
        <f t="shared" si="454"/>
        <v>0.80350494063476385</v>
      </c>
      <c r="BH506" s="43">
        <f t="shared" si="455"/>
        <v>-103.15517550033502</v>
      </c>
      <c r="BI506" s="41" t="str">
        <f t="shared" si="460"/>
        <v>3,04281680578125+1,09821649231557i</v>
      </c>
      <c r="BJ506" s="20">
        <f t="shared" si="456"/>
        <v>10.19731496127417</v>
      </c>
      <c r="BK506" s="43">
        <f t="shared" si="461"/>
        <v>19.845577900780686</v>
      </c>
      <c r="BL506">
        <f t="shared" si="457"/>
        <v>0.80350494063476385</v>
      </c>
      <c r="BM506" s="43">
        <f t="shared" si="458"/>
        <v>-103.15517550033502</v>
      </c>
    </row>
    <row r="507" spans="14:65" x14ac:dyDescent="0.25">
      <c r="N507" s="9">
        <v>89</v>
      </c>
      <c r="O507" s="34">
        <f t="shared" si="459"/>
        <v>776247.11662869214</v>
      </c>
      <c r="P507" s="33" t="str">
        <f t="shared" si="411"/>
        <v>54,631621870174</v>
      </c>
      <c r="Q507" s="4" t="str">
        <f t="shared" si="412"/>
        <v>1+19439,107347515i</v>
      </c>
      <c r="R507" s="4">
        <f t="shared" si="424"/>
        <v>19439.107373236344</v>
      </c>
      <c r="S507" s="4">
        <f t="shared" si="425"/>
        <v>1.5707448841035609</v>
      </c>
      <c r="T507" s="4" t="str">
        <f t="shared" si="413"/>
        <v>1+243,865223897096i</v>
      </c>
      <c r="U507" s="4">
        <f t="shared" si="426"/>
        <v>243.86727420131788</v>
      </c>
      <c r="V507" s="4">
        <f t="shared" si="427"/>
        <v>1.5666957240970931</v>
      </c>
      <c r="W507" t="str">
        <f t="shared" si="414"/>
        <v>1-19,4084471580912i</v>
      </c>
      <c r="X507" s="4">
        <f t="shared" si="428"/>
        <v>19.434192061632466</v>
      </c>
      <c r="Y507" s="4">
        <f t="shared" si="429"/>
        <v>-1.5193178910062823</v>
      </c>
      <c r="Z507" t="str">
        <f t="shared" si="415"/>
        <v>-1,41023834429744+2,66656366317385i</v>
      </c>
      <c r="AA507" s="4">
        <f t="shared" si="430"/>
        <v>3.0165102283078586</v>
      </c>
      <c r="AB507" s="4">
        <f t="shared" si="431"/>
        <v>2.0572643364994478</v>
      </c>
      <c r="AC507" s="47" t="str">
        <f t="shared" si="432"/>
        <v>-3,99676552288712+1,87690803770112i</v>
      </c>
      <c r="AD507" s="20">
        <f t="shared" si="433"/>
        <v>12.899659746477061</v>
      </c>
      <c r="AE507" s="43">
        <f t="shared" si="434"/>
        <v>154.84493350347907</v>
      </c>
      <c r="AF507" t="str">
        <f t="shared" si="416"/>
        <v>171,265703090588</v>
      </c>
      <c r="AG507" t="str">
        <f t="shared" si="417"/>
        <v>1+19253,0747512507i</v>
      </c>
      <c r="AH507">
        <f t="shared" si="435"/>
        <v>19253.074777220576</v>
      </c>
      <c r="AI507">
        <f t="shared" si="436"/>
        <v>1.5707443870391942</v>
      </c>
      <c r="AJ507" t="str">
        <f t="shared" si="418"/>
        <v>1+243,865223897096i</v>
      </c>
      <c r="AK507">
        <f t="shared" si="437"/>
        <v>243.86727420131788</v>
      </c>
      <c r="AL507">
        <f t="shared" si="438"/>
        <v>1.5666957240970931</v>
      </c>
      <c r="AM507" t="str">
        <f t="shared" si="419"/>
        <v>1-6,1317989272008i</v>
      </c>
      <c r="AN507">
        <f t="shared" si="439"/>
        <v>6.2128059750503146</v>
      </c>
      <c r="AO507">
        <f t="shared" si="440"/>
        <v>-1.4091352287721639</v>
      </c>
      <c r="AP507" s="41" t="str">
        <f t="shared" si="441"/>
        <v>2,1154487382428-13,3105142249596i</v>
      </c>
      <c r="AQ507">
        <f t="shared" si="442"/>
        <v>22.59223238189438</v>
      </c>
      <c r="AR507" s="43">
        <f t="shared" si="443"/>
        <v>-80.969472671100107</v>
      </c>
      <c r="AS507" t="str">
        <f t="shared" si="420"/>
        <v>-0,0000166666666666667</v>
      </c>
      <c r="AT507" t="str">
        <f t="shared" si="421"/>
        <v>0,0161633870398995i</v>
      </c>
      <c r="AU507">
        <f t="shared" si="444"/>
        <v>1.6163387039899502E-2</v>
      </c>
      <c r="AV507">
        <f t="shared" si="445"/>
        <v>1.5707963267948966</v>
      </c>
      <c r="AW507" t="str">
        <f t="shared" si="422"/>
        <v>1+5,43950433025749i</v>
      </c>
      <c r="AX507">
        <f t="shared" si="446"/>
        <v>5.5306606620628953</v>
      </c>
      <c r="AY507">
        <f t="shared" si="447"/>
        <v>1.3889861346725503</v>
      </c>
      <c r="AZ507" t="str">
        <f t="shared" si="423"/>
        <v>1+1287,60838217667i</v>
      </c>
      <c r="BA507">
        <f t="shared" si="448"/>
        <v>1287.6087704934373</v>
      </c>
      <c r="BB507">
        <f t="shared" si="449"/>
        <v>1.5700196932991932</v>
      </c>
      <c r="BC507" s="41" t="str">
        <f t="shared" si="450"/>
        <v>-0,0432222710562743+0,236138867589294i</v>
      </c>
      <c r="BD507">
        <f t="shared" si="451"/>
        <v>-12.3935341887485</v>
      </c>
      <c r="BE507" s="43">
        <f t="shared" si="452"/>
        <v>100.3724588595408</v>
      </c>
      <c r="BF507" s="41" t="str">
        <f t="shared" si="453"/>
        <v>-0,270461655813387-1,02491591254771i</v>
      </c>
      <c r="BG507" s="20">
        <f t="shared" si="454"/>
        <v>0.5061255577285213</v>
      </c>
      <c r="BH507" s="43">
        <f t="shared" si="455"/>
        <v>-104.78260763698017</v>
      </c>
      <c r="BI507" s="41" t="str">
        <f t="shared" si="460"/>
        <v>3,05169525734317+1,07485032322145i</v>
      </c>
      <c r="BJ507" s="20">
        <f t="shared" si="456"/>
        <v>10.198698193145884</v>
      </c>
      <c r="BK507" s="43">
        <f t="shared" si="461"/>
        <v>19.4029861884406</v>
      </c>
      <c r="BL507">
        <f t="shared" si="457"/>
        <v>0.5061255577285213</v>
      </c>
      <c r="BM507" s="43">
        <f t="shared" si="458"/>
        <v>-104.78260763698017</v>
      </c>
    </row>
    <row r="508" spans="14:65" x14ac:dyDescent="0.25">
      <c r="N508" s="9">
        <v>90</v>
      </c>
      <c r="O508" s="34">
        <f t="shared" si="459"/>
        <v>794328.23472428333</v>
      </c>
      <c r="P508" s="33" t="str">
        <f t="shared" si="411"/>
        <v>54,631621870174</v>
      </c>
      <c r="Q508" s="4" t="str">
        <f t="shared" si="412"/>
        <v>1+19891,9023249055i</v>
      </c>
      <c r="R508" s="4">
        <f t="shared" si="424"/>
        <v>19891.902350041357</v>
      </c>
      <c r="S508" s="4">
        <f t="shared" si="425"/>
        <v>1.5707460550821752</v>
      </c>
      <c r="T508" s="4" t="str">
        <f t="shared" si="413"/>
        <v>1+249,545574674876i</v>
      </c>
      <c r="U508" s="4">
        <f t="shared" si="426"/>
        <v>249.54757830885501</v>
      </c>
      <c r="V508" s="4">
        <f t="shared" si="427"/>
        <v>1.5667890641993596</v>
      </c>
      <c r="W508" t="str">
        <f t="shared" si="414"/>
        <v>1-19,860527967926i</v>
      </c>
      <c r="X508" s="4">
        <f t="shared" si="428"/>
        <v>19.885687595976428</v>
      </c>
      <c r="Y508" s="4">
        <f t="shared" si="429"/>
        <v>-1.5204876841417938</v>
      </c>
      <c r="Z508" t="str">
        <f t="shared" si="415"/>
        <v>-1,52382937792079+2,72867590999631i</v>
      </c>
      <c r="AA508" s="4">
        <f t="shared" si="430"/>
        <v>3.1253364930529726</v>
      </c>
      <c r="AB508" s="4">
        <f t="shared" si="431"/>
        <v>2.0801039938618611</v>
      </c>
      <c r="AC508" s="47" t="str">
        <f t="shared" si="432"/>
        <v>-3,90175508968357+1,94750567371777i</v>
      </c>
      <c r="AD508" s="20">
        <f t="shared" si="433"/>
        <v>12.791299284069865</v>
      </c>
      <c r="AE508" s="43">
        <f t="shared" si="434"/>
        <v>153.47457422330638</v>
      </c>
      <c r="AF508" t="str">
        <f t="shared" si="416"/>
        <v>171,265703090588</v>
      </c>
      <c r="AG508" t="str">
        <f t="shared" si="417"/>
        <v>1+19701,5364728124i</v>
      </c>
      <c r="AH508">
        <f t="shared" si="435"/>
        <v>19701.536498191133</v>
      </c>
      <c r="AI508">
        <f t="shared" si="436"/>
        <v>1.5707455693323749</v>
      </c>
      <c r="AJ508" t="str">
        <f t="shared" si="418"/>
        <v>1+249,545574674876i</v>
      </c>
      <c r="AK508">
        <f t="shared" si="437"/>
        <v>249.54757830885501</v>
      </c>
      <c r="AL508">
        <f t="shared" si="438"/>
        <v>1.5667890641993596</v>
      </c>
      <c r="AM508" t="str">
        <f t="shared" si="419"/>
        <v>1-6,27462687227924i</v>
      </c>
      <c r="AN508">
        <f t="shared" si="439"/>
        <v>6.3538132161977154</v>
      </c>
      <c r="AO508">
        <f t="shared" si="440"/>
        <v>-1.412753423203698</v>
      </c>
      <c r="AP508" s="41" t="str">
        <f t="shared" si="441"/>
        <v>2,11544871770488-13,6201513014165i</v>
      </c>
      <c r="AQ508">
        <f t="shared" si="442"/>
        <v>22.787162151620649</v>
      </c>
      <c r="AR508" s="43">
        <f t="shared" si="443"/>
        <v>-81.171499687974958</v>
      </c>
      <c r="AS508" t="str">
        <f t="shared" si="420"/>
        <v>-0,0000166666666666667</v>
      </c>
      <c r="AT508" t="str">
        <f t="shared" si="421"/>
        <v>0,0165398806894508i</v>
      </c>
      <c r="AU508">
        <f t="shared" si="444"/>
        <v>1.6539880689450798E-2</v>
      </c>
      <c r="AV508">
        <f t="shared" si="445"/>
        <v>1.5707963267948966</v>
      </c>
      <c r="AW508" t="str">
        <f t="shared" si="422"/>
        <v>1+5,56620666263332i</v>
      </c>
      <c r="AX508">
        <f t="shared" si="446"/>
        <v>5.6553210882445546</v>
      </c>
      <c r="AY508">
        <f t="shared" si="447"/>
        <v>1.3930370346219454</v>
      </c>
      <c r="AZ508" t="str">
        <f t="shared" si="423"/>
        <v>1+1317,60063428334i</v>
      </c>
      <c r="BA508">
        <f t="shared" si="448"/>
        <v>1317.6010137609412</v>
      </c>
      <c r="BB508">
        <f t="shared" si="449"/>
        <v>1.5700373716289866</v>
      </c>
      <c r="BC508" s="41" t="str">
        <f t="shared" si="450"/>
        <v>-0,0413377727080623+0,231102251337125i</v>
      </c>
      <c r="BD508">
        <f t="shared" si="451"/>
        <v>-12.587139402313667</v>
      </c>
      <c r="BE508" s="43">
        <f t="shared" si="452"/>
        <v>100.14137228289673</v>
      </c>
      <c r="BF508" s="41" t="str">
        <f t="shared" si="453"/>
        <v>-0,288783080628136-0,982209932279766i</v>
      </c>
      <c r="BG508" s="20">
        <f t="shared" si="454"/>
        <v>0.20415988175619573</v>
      </c>
      <c r="BH508" s="43">
        <f t="shared" si="455"/>
        <v>-106.38405349379687</v>
      </c>
      <c r="BI508" s="41" t="str">
        <f t="shared" si="460"/>
        <v>3,06019969104158+1,05191167999721i</v>
      </c>
      <c r="BJ508" s="20">
        <f t="shared" si="456"/>
        <v>10.200022749306983</v>
      </c>
      <c r="BK508" s="43">
        <f t="shared" si="461"/>
        <v>18.969872594921828</v>
      </c>
      <c r="BL508">
        <f t="shared" si="457"/>
        <v>0.20415988175619573</v>
      </c>
      <c r="BM508" s="43">
        <f t="shared" si="458"/>
        <v>-106.38405349379687</v>
      </c>
    </row>
    <row r="509" spans="14:65" x14ac:dyDescent="0.25">
      <c r="N509" s="9">
        <v>91</v>
      </c>
      <c r="O509" s="34">
        <f t="shared" si="459"/>
        <v>812830.51616410096</v>
      </c>
      <c r="P509" s="33" t="str">
        <f t="shared" si="411"/>
        <v>54,631621870174</v>
      </c>
      <c r="Q509" s="4" t="str">
        <f t="shared" si="412"/>
        <v>1+20355,244252209i</v>
      </c>
      <c r="R509" s="4">
        <f t="shared" si="424"/>
        <v>20355.24427677269</v>
      </c>
      <c r="S509" s="4">
        <f t="shared" si="425"/>
        <v>1.5707471994060622</v>
      </c>
      <c r="T509" s="4" t="str">
        <f t="shared" si="413"/>
        <v>1+255,358237819474i</v>
      </c>
      <c r="U509" s="4">
        <f t="shared" si="426"/>
        <v>255.36019584552923</v>
      </c>
      <c r="V509" s="4">
        <f t="shared" si="427"/>
        <v>1.566880279688974</v>
      </c>
      <c r="W509" t="str">
        <f t="shared" si="414"/>
        <v>1-20,3231390925746i</v>
      </c>
      <c r="X509" s="4">
        <f t="shared" si="428"/>
        <v>20.347726717649174</v>
      </c>
      <c r="Y509" s="4">
        <f t="shared" si="429"/>
        <v>-1.5216309827066816</v>
      </c>
      <c r="Z509" t="str">
        <f t="shared" si="415"/>
        <v>-1,6427737920304+2,79223493690453i</v>
      </c>
      <c r="AA509" s="4">
        <f t="shared" si="430"/>
        <v>3.2396422139878633</v>
      </c>
      <c r="AB509" s="4">
        <f t="shared" si="431"/>
        <v>2.10259559618886</v>
      </c>
      <c r="AC509" s="47" t="str">
        <f t="shared" si="432"/>
        <v>-3,80521707861691+2,01258626448299i</v>
      </c>
      <c r="AD509" s="20">
        <f t="shared" si="433"/>
        <v>12.678796494480354</v>
      </c>
      <c r="AE509" s="43">
        <f t="shared" si="434"/>
        <v>152.12555485064331</v>
      </c>
      <c r="AF509" t="str">
        <f t="shared" si="416"/>
        <v>171,265703090588</v>
      </c>
      <c r="AG509" t="str">
        <f t="shared" si="417"/>
        <v>1+20160,4442097926i</v>
      </c>
      <c r="AH509">
        <f t="shared" si="435"/>
        <v>20160.44423459364</v>
      </c>
      <c r="AI509">
        <f t="shared" si="436"/>
        <v>1.5707467247132771</v>
      </c>
      <c r="AJ509" t="str">
        <f t="shared" si="418"/>
        <v>1+255,358237819474i</v>
      </c>
      <c r="AK509">
        <f t="shared" si="437"/>
        <v>255.36019584552923</v>
      </c>
      <c r="AL509">
        <f t="shared" si="438"/>
        <v>1.566880279688974</v>
      </c>
      <c r="AM509" t="str">
        <f t="shared" si="419"/>
        <v>1-6,42078170757985i</v>
      </c>
      <c r="AN509">
        <f t="shared" si="439"/>
        <v>6.4981872654142565</v>
      </c>
      <c r="AO509">
        <f t="shared" si="440"/>
        <v>-1.4162932941443624</v>
      </c>
      <c r="AP509" s="41" t="str">
        <f t="shared" si="441"/>
        <v>2,11544869809131-13,9370099623773i</v>
      </c>
      <c r="AQ509">
        <f t="shared" si="442"/>
        <v>22.982314594519284</v>
      </c>
      <c r="AR509" s="43">
        <f t="shared" si="443"/>
        <v>-81.369159288764379</v>
      </c>
      <c r="AS509" t="str">
        <f t="shared" si="420"/>
        <v>-0,0000166666666666667</v>
      </c>
      <c r="AT509" t="str">
        <f t="shared" si="421"/>
        <v>0,0169251440026747i</v>
      </c>
      <c r="AU509">
        <f t="shared" si="444"/>
        <v>1.69251440026747E-2</v>
      </c>
      <c r="AV509">
        <f t="shared" si="445"/>
        <v>1.5707963267948966</v>
      </c>
      <c r="AW509" t="str">
        <f t="shared" si="422"/>
        <v>1+5,69586027145912i</v>
      </c>
      <c r="AX509">
        <f t="shared" si="446"/>
        <v>5.7829771080289056</v>
      </c>
      <c r="AY509">
        <f t="shared" si="447"/>
        <v>1.3970014304134688</v>
      </c>
      <c r="AZ509" t="str">
        <f t="shared" si="423"/>
        <v>1+1348,29149568682i</v>
      </c>
      <c r="BA509">
        <f t="shared" si="448"/>
        <v>1348.291866526459</v>
      </c>
      <c r="BB509">
        <f t="shared" si="449"/>
        <v>1.5700546475513233</v>
      </c>
      <c r="BC509" s="41" t="str">
        <f t="shared" si="450"/>
        <v>-0,0395328989089071+0,226158596515472i</v>
      </c>
      <c r="BD509">
        <f t="shared" si="451"/>
        <v>-12.781023625901476</v>
      </c>
      <c r="BE509" s="43">
        <f t="shared" si="452"/>
        <v>99.91521897316008</v>
      </c>
      <c r="BF509" s="41" t="str">
        <f t="shared" si="453"/>
        <v>-0,30473242284638-0,940145923275966i</v>
      </c>
      <c r="BG509" s="20">
        <f t="shared" si="454"/>
        <v>-0.10222713142111982</v>
      </c>
      <c r="BH509" s="43">
        <f t="shared" si="455"/>
        <v>-107.95922617619657</v>
      </c>
      <c r="BI509" s="41" t="str">
        <f t="shared" si="460"/>
        <v>3,06834479318478+1,02939731449591i</v>
      </c>
      <c r="BJ509" s="20">
        <f t="shared" si="456"/>
        <v>10.201290968617814</v>
      </c>
      <c r="BK509" s="43">
        <f t="shared" si="461"/>
        <v>18.546059684395768</v>
      </c>
      <c r="BL509">
        <f t="shared" si="457"/>
        <v>-0.10222713142111982</v>
      </c>
      <c r="BM509" s="43">
        <f t="shared" si="458"/>
        <v>-107.95922617619657</v>
      </c>
    </row>
    <row r="510" spans="14:65" x14ac:dyDescent="0.25">
      <c r="N510" s="9">
        <v>92</v>
      </c>
      <c r="O510" s="34">
        <f t="shared" si="459"/>
        <v>831763.77110267128</v>
      </c>
      <c r="P510" s="33" t="str">
        <f t="shared" si="411"/>
        <v>54,631621870174</v>
      </c>
      <c r="Q510" s="4" t="str">
        <f t="shared" si="412"/>
        <v>1+20829,3787994485i</v>
      </c>
      <c r="R510" s="4">
        <f t="shared" si="424"/>
        <v>20829.378823453055</v>
      </c>
      <c r="S510" s="4">
        <f t="shared" si="425"/>
        <v>1.5707483176819577</v>
      </c>
      <c r="T510" s="4" t="str">
        <f t="shared" si="413"/>
        <v>1+261,306295281829i</v>
      </c>
      <c r="U510" s="4">
        <f t="shared" si="426"/>
        <v>261.30820873809995</v>
      </c>
      <c r="V510" s="4">
        <f t="shared" si="427"/>
        <v>1.5669694189235213</v>
      </c>
      <c r="W510" t="str">
        <f t="shared" si="414"/>
        <v>1-20,7965258145786i</v>
      </c>
      <c r="X510" s="4">
        <f t="shared" si="428"/>
        <v>20.820554410400177</v>
      </c>
      <c r="Y510" s="4">
        <f t="shared" si="429"/>
        <v>-1.5227483809306541</v>
      </c>
      <c r="Z510" t="str">
        <f t="shared" si="415"/>
        <v>-1,76732388367576+2,85727444373589i</v>
      </c>
      <c r="AA510" s="4">
        <f t="shared" si="430"/>
        <v>3.3596801866601846</v>
      </c>
      <c r="AB510" s="4">
        <f t="shared" si="431"/>
        <v>2.1247330473730566</v>
      </c>
      <c r="AC510" s="47" t="str">
        <f t="shared" si="432"/>
        <v>-3,70751573991141+2,07221393331007i</v>
      </c>
      <c r="AD510" s="20">
        <f t="shared" si="433"/>
        <v>12.562303593216068</v>
      </c>
      <c r="AE510" s="43">
        <f t="shared" si="434"/>
        <v>150.79819335578233</v>
      </c>
      <c r="AF510" t="str">
        <f t="shared" si="416"/>
        <v>171,265703090588</v>
      </c>
      <c r="AG510" t="str">
        <f t="shared" si="417"/>
        <v>1+20630,0412811479i</v>
      </c>
      <c r="AH510">
        <f t="shared" si="435"/>
        <v>20630.041305384399</v>
      </c>
      <c r="AI510">
        <f t="shared" si="436"/>
        <v>1.5707478537944994</v>
      </c>
      <c r="AJ510" t="str">
        <f t="shared" si="418"/>
        <v>1+261,306295281829i</v>
      </c>
      <c r="AK510">
        <f t="shared" si="437"/>
        <v>261.30820873809995</v>
      </c>
      <c r="AL510">
        <f t="shared" si="438"/>
        <v>1.5669694189235213</v>
      </c>
      <c r="AM510" t="str">
        <f t="shared" si="419"/>
        <v>1-6,5703409263309i</v>
      </c>
      <c r="AN510">
        <f t="shared" si="439"/>
        <v>6.6460048065148722</v>
      </c>
      <c r="AO510">
        <f t="shared" si="440"/>
        <v>-1.4197563634428745</v>
      </c>
      <c r="AP510" s="41" t="str">
        <f t="shared" si="441"/>
        <v>2,11544867936049-14,2612582104981i</v>
      </c>
      <c r="AQ510">
        <f t="shared" si="442"/>
        <v>23.177680163506423</v>
      </c>
      <c r="AR510" s="43">
        <f t="shared" si="443"/>
        <v>-81.562535933390635</v>
      </c>
      <c r="AS510" t="str">
        <f t="shared" si="420"/>
        <v>-0,0000166666666666667</v>
      </c>
      <c r="AT510" t="str">
        <f t="shared" si="421"/>
        <v>0,0173193812512797i</v>
      </c>
      <c r="AU510">
        <f t="shared" si="444"/>
        <v>1.73193812512797E-2</v>
      </c>
      <c r="AV510">
        <f t="shared" si="445"/>
        <v>1.5707963267948966</v>
      </c>
      <c r="AW510" t="str">
        <f t="shared" si="422"/>
        <v>1+5,82853390079446i</v>
      </c>
      <c r="AX510">
        <f t="shared" si="446"/>
        <v>5.9136965962678776</v>
      </c>
      <c r="AY510">
        <f t="shared" si="447"/>
        <v>1.4008809253257681</v>
      </c>
      <c r="AZ510" t="str">
        <f t="shared" si="423"/>
        <v>1+1379,69723908806i</v>
      </c>
      <c r="BA510">
        <f t="shared" si="448"/>
        <v>1379.6976014863603</v>
      </c>
      <c r="BB510">
        <f t="shared" si="449"/>
        <v>1.570071530226085</v>
      </c>
      <c r="BC510" s="41" t="str">
        <f t="shared" si="450"/>
        <v>-0,0378045027308156+0,221307138823314i</v>
      </c>
      <c r="BD510">
        <f t="shared" si="451"/>
        <v>-12.97517505388363</v>
      </c>
      <c r="BE510" s="43">
        <f t="shared" si="452"/>
        <v>99.69390759405357</v>
      </c>
      <c r="BF510" s="41" t="str">
        <f t="shared" si="453"/>
        <v>-0,318434947696634-0,898838717842851i</v>
      </c>
      <c r="BG510" s="20">
        <f t="shared" si="454"/>
        <v>-0.41287146066756164</v>
      </c>
      <c r="BH510" s="43">
        <f t="shared" si="455"/>
        <v>-109.50789905016407</v>
      </c>
      <c r="BI510" s="41" t="str">
        <f t="shared" si="460"/>
        <v>3,07614476521005+1,00730366952047i</v>
      </c>
      <c r="BJ510" s="20">
        <f t="shared" si="456"/>
        <v>10.202505109622804</v>
      </c>
      <c r="BK510" s="43">
        <f t="shared" si="461"/>
        <v>18.131371660662907</v>
      </c>
      <c r="BL510">
        <f t="shared" si="457"/>
        <v>-0.41287146066756164</v>
      </c>
      <c r="BM510" s="43">
        <f t="shared" si="458"/>
        <v>-109.50789905016407</v>
      </c>
    </row>
    <row r="511" spans="14:65" x14ac:dyDescent="0.25">
      <c r="N511" s="9">
        <v>93</v>
      </c>
      <c r="O511" s="34">
        <f t="shared" si="459"/>
        <v>851138.03820237669</v>
      </c>
      <c r="P511" s="33" t="str">
        <f t="shared" si="411"/>
        <v>54,631621870174</v>
      </c>
      <c r="Q511" s="4" t="str">
        <f t="shared" si="412"/>
        <v>1+21314,557359037i</v>
      </c>
      <c r="R511" s="4">
        <f t="shared" si="424"/>
        <v>21314.557382495146</v>
      </c>
      <c r="S511" s="4">
        <f t="shared" si="425"/>
        <v>1.5707494105027859</v>
      </c>
      <c r="T511" s="4" t="str">
        <f t="shared" si="413"/>
        <v>1+267,392900800742i</v>
      </c>
      <c r="U511" s="4">
        <f t="shared" si="426"/>
        <v>267.39477070173876</v>
      </c>
      <c r="V511" s="4">
        <f t="shared" si="427"/>
        <v>1.5670565291601342</v>
      </c>
      <c r="W511" t="str">
        <f t="shared" si="414"/>
        <v>1-21,2809391298441i</v>
      </c>
      <c r="X511" s="4">
        <f t="shared" si="428"/>
        <v>21.304421377923639</v>
      </c>
      <c r="Y511" s="4">
        <f t="shared" si="429"/>
        <v>-1.5238404601054203</v>
      </c>
      <c r="Z511" t="str">
        <f t="shared" si="415"/>
        <v>-1,89774384029997+2,92382891529783i</v>
      </c>
      <c r="AA511" s="4">
        <f t="shared" si="430"/>
        <v>3.4857147343591048</v>
      </c>
      <c r="AB511" s="4">
        <f t="shared" si="431"/>
        <v>2.1465112839851446</v>
      </c>
      <c r="AC511" s="47" t="str">
        <f t="shared" si="432"/>
        <v>-3,60899762367773+2,12647729845409i</v>
      </c>
      <c r="AD511" s="20">
        <f t="shared" si="433"/>
        <v>12.441971722903482</v>
      </c>
      <c r="AE511" s="43">
        <f t="shared" si="434"/>
        <v>149.49274921995323</v>
      </c>
      <c r="AF511" t="str">
        <f t="shared" si="416"/>
        <v>171,265703090588</v>
      </c>
      <c r="AG511" t="str">
        <f t="shared" si="417"/>
        <v>1+21110,5766734613i</v>
      </c>
      <c r="AH511">
        <f t="shared" si="435"/>
        <v>21110.576697146105</v>
      </c>
      <c r="AI511">
        <f t="shared" si="436"/>
        <v>1.5707489571746953</v>
      </c>
      <c r="AJ511" t="str">
        <f t="shared" si="418"/>
        <v>1+267,392900800742i</v>
      </c>
      <c r="AK511">
        <f t="shared" si="437"/>
        <v>267.39477070173876</v>
      </c>
      <c r="AL511">
        <f t="shared" si="438"/>
        <v>1.5670565291601342</v>
      </c>
      <c r="AM511" t="str">
        <f t="shared" si="419"/>
        <v>1-6,72338382680984i</v>
      </c>
      <c r="AN511">
        <f t="shared" si="439"/>
        <v>6.7973443404470943</v>
      </c>
      <c r="AO511">
        <f t="shared" si="440"/>
        <v>-1.4231441348369382</v>
      </c>
      <c r="AP511" s="41" t="str">
        <f t="shared" si="441"/>
        <v>2,11544866147272-14,5930679664922i</v>
      </c>
      <c r="AQ511">
        <f t="shared" si="442"/>
        <v>23.373249700826303</v>
      </c>
      <c r="AR511" s="43">
        <f t="shared" si="443"/>
        <v>-81.751713106343743</v>
      </c>
      <c r="AS511" t="str">
        <f t="shared" si="420"/>
        <v>-0,0000166666666666667</v>
      </c>
      <c r="AT511" t="str">
        <f t="shared" si="421"/>
        <v>0,0177228014650731i</v>
      </c>
      <c r="AU511">
        <f t="shared" si="444"/>
        <v>1.7722801465073101E-2</v>
      </c>
      <c r="AV511">
        <f t="shared" si="445"/>
        <v>1.5707963267948966</v>
      </c>
      <c r="AW511" t="str">
        <f t="shared" si="422"/>
        <v>1+5,96429789595377i</v>
      </c>
      <c r="AX511">
        <f t="shared" si="446"/>
        <v>6.0475490400391596</v>
      </c>
      <c r="AY511">
        <f t="shared" si="447"/>
        <v>1.4046771089791164</v>
      </c>
      <c r="AZ511" t="str">
        <f t="shared" si="423"/>
        <v>1+1411,83451622791i</v>
      </c>
      <c r="BA511">
        <f t="shared" si="448"/>
        <v>1411.8348703770198</v>
      </c>
      <c r="BB511">
        <f t="shared" si="449"/>
        <v>1.5700880286046506</v>
      </c>
      <c r="BC511" s="41" t="str">
        <f t="shared" si="450"/>
        <v>-0,0361495429418817+0,216547051042614i</v>
      </c>
      <c r="BD511">
        <f t="shared" si="451"/>
        <v>-13.169582348655776</v>
      </c>
      <c r="BE511" s="43">
        <f t="shared" si="452"/>
        <v>99.477347579920732</v>
      </c>
      <c r="BF511" s="41" t="str">
        <f t="shared" si="453"/>
        <v>-0,330018773515011-0,858388975042617i</v>
      </c>
      <c r="BG511" s="20">
        <f t="shared" si="454"/>
        <v>-0.72761062575229207</v>
      </c>
      <c r="BH511" s="43">
        <f t="shared" si="455"/>
        <v>-111.02990320012609</v>
      </c>
      <c r="BI511" s="41" t="str">
        <f t="shared" si="460"/>
        <v>3,08361333157907+0,985626906382471i</v>
      </c>
      <c r="BJ511" s="20">
        <f t="shared" si="456"/>
        <v>10.20366735217053</v>
      </c>
      <c r="BK511" s="43">
        <f t="shared" si="461"/>
        <v>17.725634473576978</v>
      </c>
      <c r="BL511">
        <f t="shared" si="457"/>
        <v>-0.72761062575229207</v>
      </c>
      <c r="BM511" s="43">
        <f t="shared" si="458"/>
        <v>-111.02990320012609</v>
      </c>
    </row>
    <row r="512" spans="14:65" x14ac:dyDescent="0.25">
      <c r="N512" s="9">
        <v>94</v>
      </c>
      <c r="O512" s="34">
        <f t="shared" si="459"/>
        <v>870963.58995608077</v>
      </c>
      <c r="P512" s="33" t="str">
        <f t="shared" si="411"/>
        <v>54,631621870174</v>
      </c>
      <c r="Q512" s="4" t="str">
        <f t="shared" si="412"/>
        <v>1+21811,0371790687i</v>
      </c>
      <c r="R512" s="4">
        <f t="shared" si="424"/>
        <v>21811.037201992873</v>
      </c>
      <c r="S512" s="4">
        <f t="shared" si="425"/>
        <v>1.5707504784479753</v>
      </c>
      <c r="T512" s="4" t="str">
        <f t="shared" si="413"/>
        <v>1+273,621281575021i</v>
      </c>
      <c r="U512" s="4">
        <f t="shared" si="426"/>
        <v>273.62310891216208</v>
      </c>
      <c r="V512" s="4">
        <f t="shared" si="427"/>
        <v>1.5671416565805221</v>
      </c>
      <c r="W512" t="str">
        <f t="shared" si="414"/>
        <v>1-21,7766358807228i</v>
      </c>
      <c r="X512" s="4">
        <f t="shared" si="428"/>
        <v>21.799584176804466</v>
      </c>
      <c r="Y512" s="4">
        <f t="shared" si="429"/>
        <v>-1.5249077888402582</v>
      </c>
      <c r="Z512" t="str">
        <f t="shared" si="415"/>
        <v>-2,03431030011674+2,9919336396521i</v>
      </c>
      <c r="AA512" s="4">
        <f t="shared" si="430"/>
        <v>3.6180222914242699</v>
      </c>
      <c r="AB512" s="4">
        <f t="shared" si="431"/>
        <v>2.1679262277509901</v>
      </c>
      <c r="AC512" s="47" t="str">
        <f t="shared" si="432"/>
        <v>-3,50999022550606+2,17548677921727i</v>
      </c>
      <c r="AD512" s="20">
        <f t="shared" si="433"/>
        <v>12.317950391955424</v>
      </c>
      <c r="AE512" s="43">
        <f t="shared" si="434"/>
        <v>148.209426144958</v>
      </c>
      <c r="AF512" t="str">
        <f t="shared" si="416"/>
        <v>171,265703090588</v>
      </c>
      <c r="AG512" t="str">
        <f t="shared" si="417"/>
        <v>1+21602,3051729585i</v>
      </c>
      <c r="AH512">
        <f t="shared" si="435"/>
        <v>21602.305196104175</v>
      </c>
      <c r="AI512">
        <f t="shared" si="436"/>
        <v>1.5707500354388919</v>
      </c>
      <c r="AJ512" t="str">
        <f t="shared" si="418"/>
        <v>1+273,621281575021i</v>
      </c>
      <c r="AK512">
        <f t="shared" si="437"/>
        <v>273.62310891216208</v>
      </c>
      <c r="AL512">
        <f t="shared" si="438"/>
        <v>1.5671416565805221</v>
      </c>
      <c r="AM512" t="str">
        <f t="shared" si="419"/>
        <v>1-6,87999155438827i</v>
      </c>
      <c r="AN512">
        <f t="shared" si="439"/>
        <v>6.952286227454529</v>
      </c>
      <c r="AO512">
        <f t="shared" si="440"/>
        <v>-1.4264580933554716</v>
      </c>
      <c r="AP512" s="41" t="str">
        <f t="shared" si="441"/>
        <v>2,11544864439001-14,9326151602841i</v>
      </c>
      <c r="AQ512">
        <f t="shared" si="442"/>
        <v>23.569014423901553</v>
      </c>
      <c r="AR512" s="43">
        <f t="shared" si="443"/>
        <v>-81.936773281015746</v>
      </c>
      <c r="AS512" t="str">
        <f t="shared" si="420"/>
        <v>-0,0000166666666666667</v>
      </c>
      <c r="AT512" t="str">
        <f t="shared" si="421"/>
        <v>0,0181356185427924i</v>
      </c>
      <c r="AU512">
        <f t="shared" si="444"/>
        <v>1.81356185427924E-2</v>
      </c>
      <c r="AV512">
        <f t="shared" si="445"/>
        <v>1.5707963267948966</v>
      </c>
      <c r="AW512" t="str">
        <f t="shared" si="422"/>
        <v>1+6,10322424080434i</v>
      </c>
      <c r="AX512">
        <f t="shared" si="446"/>
        <v>6.184605576230525</v>
      </c>
      <c r="AY512">
        <f t="shared" si="447"/>
        <v>1.408391556285729</v>
      </c>
      <c r="AZ512" t="str">
        <f t="shared" si="423"/>
        <v>1+1444,72036671611i</v>
      </c>
      <c r="BA512">
        <f t="shared" si="448"/>
        <v>1444.720712803804</v>
      </c>
      <c r="BB512">
        <f t="shared" si="449"/>
        <v>1.5701041514346428</v>
      </c>
      <c r="BC512" s="41" t="str">
        <f t="shared" si="450"/>
        <v>-0,0345650821056022+0,211877448824379i</v>
      </c>
      <c r="BD512">
        <f t="shared" si="451"/>
        <v>-13.364234624791788</v>
      </c>
      <c r="BE512" s="43">
        <f t="shared" si="452"/>
        <v>99.265449196140565</v>
      </c>
      <c r="BF512" s="41" t="str">
        <f t="shared" si="453"/>
        <v>-0,339613488397242-0,818883653522028i</v>
      </c>
      <c r="BG512" s="20">
        <f t="shared" si="454"/>
        <v>-1.0462842328363633</v>
      </c>
      <c r="BH512" s="43">
        <f t="shared" si="455"/>
        <v>-112.52512465890142</v>
      </c>
      <c r="BI512" s="41" t="str">
        <f t="shared" si="460"/>
        <v>3,09076374835371+0,964362930958926i</v>
      </c>
      <c r="BJ512" s="20">
        <f t="shared" si="456"/>
        <v>10.204779799109755</v>
      </c>
      <c r="BK512" s="43">
        <f t="shared" si="461"/>
        <v>17.328675915124837</v>
      </c>
      <c r="BL512">
        <f t="shared" si="457"/>
        <v>-1.0462842328363633</v>
      </c>
      <c r="BM512" s="43">
        <f t="shared" si="458"/>
        <v>-112.52512465890142</v>
      </c>
    </row>
    <row r="513" spans="14:65" x14ac:dyDescent="0.25">
      <c r="N513" s="9">
        <v>95</v>
      </c>
      <c r="O513" s="34">
        <f t="shared" si="459"/>
        <v>891250.93813374708</v>
      </c>
      <c r="P513" s="33" t="str">
        <f t="shared" si="411"/>
        <v>54,631621870174</v>
      </c>
      <c r="Q513" s="4" t="str">
        <f t="shared" si="412"/>
        <v>1+22319,081499716i</v>
      </c>
      <c r="R513" s="4">
        <f t="shared" si="424"/>
        <v>22319.081522118358</v>
      </c>
      <c r="S513" s="4">
        <f t="shared" si="425"/>
        <v>1.5707515220837645</v>
      </c>
      <c r="T513" s="4" t="str">
        <f t="shared" si="413"/>
        <v>1+279,994739974599i</v>
      </c>
      <c r="U513" s="4">
        <f t="shared" si="426"/>
        <v>279.99652571673693</v>
      </c>
      <c r="V513" s="4">
        <f t="shared" si="427"/>
        <v>1.5672248463154317</v>
      </c>
      <c r="W513" t="str">
        <f t="shared" si="414"/>
        <v>1-22,2838788921933i</v>
      </c>
      <c r="X513" s="4">
        <f t="shared" si="428"/>
        <v>22.306305352566525</v>
      </c>
      <c r="Y513" s="4">
        <f t="shared" si="429"/>
        <v>-1.5259509233143311</v>
      </c>
      <c r="Z513" t="str">
        <f t="shared" si="415"/>
        <v>-2,17731293889714+3,06162472682505i</v>
      </c>
      <c r="AA513" s="4">
        <f t="shared" si="430"/>
        <v>3.7568920135925477</v>
      </c>
      <c r="AB513" s="4">
        <f t="shared" si="431"/>
        <v>2.1889747348953321</v>
      </c>
      <c r="AC513" s="47" t="str">
        <f t="shared" si="432"/>
        <v>-3,41080098578398+2,2193719146005i</v>
      </c>
      <c r="AD513" s="20">
        <f t="shared" si="433"/>
        <v>12.190386974344436</v>
      </c>
      <c r="AE513" s="43">
        <f t="shared" si="434"/>
        <v>146.94837494249037</v>
      </c>
      <c r="AF513" t="str">
        <f t="shared" si="416"/>
        <v>171,265703090588</v>
      </c>
      <c r="AG513" t="str">
        <f t="shared" si="417"/>
        <v>1+22105,4875005987i</v>
      </c>
      <c r="AH513">
        <f t="shared" si="435"/>
        <v>22105.487523217518</v>
      </c>
      <c r="AI513">
        <f t="shared" si="436"/>
        <v>1.5707510891587988</v>
      </c>
      <c r="AJ513" t="str">
        <f t="shared" si="418"/>
        <v>1+279,994739974599i</v>
      </c>
      <c r="AK513">
        <f t="shared" si="437"/>
        <v>279.99652571673693</v>
      </c>
      <c r="AL513">
        <f t="shared" si="438"/>
        <v>1.5672248463154317</v>
      </c>
      <c r="AM513" t="str">
        <f t="shared" si="419"/>
        <v>1-7,0402471445563i</v>
      </c>
      <c r="AN513">
        <f t="shared" si="439"/>
        <v>7.1109127301938635</v>
      </c>
      <c r="AO513">
        <f t="shared" si="440"/>
        <v>-1.4296997047922251</v>
      </c>
      <c r="AP513" s="41" t="str">
        <f t="shared" si="441"/>
        <v>2,11544862807617-15,2800798242905i</v>
      </c>
      <c r="AQ513">
        <f t="shared" si="442"/>
        <v>23.764965911546408</v>
      </c>
      <c r="AR513" s="43">
        <f t="shared" si="443"/>
        <v>-82.117797888157341</v>
      </c>
      <c r="AS513" t="str">
        <f t="shared" si="420"/>
        <v>-0,0000166666666666667</v>
      </c>
      <c r="AT513" t="str">
        <f t="shared" si="421"/>
        <v>0,0185580513655164i</v>
      </c>
      <c r="AU513">
        <f t="shared" si="444"/>
        <v>1.8558051365516401E-2</v>
      </c>
      <c r="AV513">
        <f t="shared" si="445"/>
        <v>1.5707963267948966</v>
      </c>
      <c r="AW513" t="str">
        <f t="shared" si="422"/>
        <v>1+6,24538659593312i</v>
      </c>
      <c r="AX513">
        <f t="shared" si="446"/>
        <v>6.3249390299560275</v>
      </c>
      <c r="AY513">
        <f t="shared" si="447"/>
        <v>1.4120258264981362</v>
      </c>
      <c r="AZ513" t="str">
        <f t="shared" si="423"/>
        <v>1+1478,37222706588i</v>
      </c>
      <c r="BA513">
        <f t="shared" si="448"/>
        <v>1478.3725652756582</v>
      </c>
      <c r="BB513">
        <f t="shared" si="449"/>
        <v>1.5701199072645662</v>
      </c>
      <c r="BC513" s="41" t="str">
        <f t="shared" si="450"/>
        <v>-0,0330482845513337+0,207297396151914i</v>
      </c>
      <c r="BD513">
        <f t="shared" si="451"/>
        <v>-13.55912143349363</v>
      </c>
      <c r="BE513" s="43">
        <f t="shared" si="452"/>
        <v>99.058123593916818</v>
      </c>
      <c r="BF513" s="41" t="str">
        <f t="shared" si="453"/>
        <v>-0,347348897463213-0,780396597704356i</v>
      </c>
      <c r="BG513" s="20">
        <f t="shared" si="454"/>
        <v>-1.3687344591491979</v>
      </c>
      <c r="BH513" s="43">
        <f t="shared" si="455"/>
        <v>-113.99350146359278</v>
      </c>
      <c r="BI513" s="41" t="str">
        <f t="shared" si="460"/>
        <v>3,09760881235443+0,943507418293574i</v>
      </c>
      <c r="BJ513" s="20">
        <f t="shared" si="456"/>
        <v>10.205844478052784</v>
      </c>
      <c r="BK513" s="43">
        <f t="shared" si="461"/>
        <v>16.94032570575947</v>
      </c>
      <c r="BL513">
        <f t="shared" si="457"/>
        <v>-1.3687344591491979</v>
      </c>
      <c r="BM513" s="43">
        <f t="shared" si="458"/>
        <v>-113.99350146359278</v>
      </c>
    </row>
    <row r="514" spans="14:65" x14ac:dyDescent="0.25">
      <c r="N514" s="9">
        <v>96</v>
      </c>
      <c r="O514" s="34">
        <f t="shared" si="459"/>
        <v>912010.83935591124</v>
      </c>
      <c r="P514" s="33" t="str">
        <f t="shared" si="411"/>
        <v>54,631621870174</v>
      </c>
      <c r="Q514" s="4" t="str">
        <f t="shared" si="412"/>
        <v>1+22838,9596928024i</v>
      </c>
      <c r="R514" s="4">
        <f t="shared" si="424"/>
        <v>22838.959714694814</v>
      </c>
      <c r="S514" s="4">
        <f t="shared" si="425"/>
        <v>1.5707525419635027</v>
      </c>
      <c r="T514" s="4" t="str">
        <f t="shared" si="413"/>
        <v>1+286,516655291479i</v>
      </c>
      <c r="U514" s="4">
        <f t="shared" si="426"/>
        <v>286.51840038541366</v>
      </c>
      <c r="V514" s="4">
        <f t="shared" si="427"/>
        <v>1.5673061424685537</v>
      </c>
      <c r="W514" t="str">
        <f t="shared" si="414"/>
        <v>1-22,8029371112144i</v>
      </c>
      <c r="X514" s="4">
        <f t="shared" si="428"/>
        <v>22.82485357889507</v>
      </c>
      <c r="Y514" s="4">
        <f t="shared" si="429"/>
        <v>-1.5269704075256538</v>
      </c>
      <c r="Z514" t="str">
        <f t="shared" si="415"/>
        <v>-2,3270550844107+3,13293912795355i</v>
      </c>
      <c r="AA514" s="4">
        <f t="shared" si="430"/>
        <v>3.9026264163181232</v>
      </c>
      <c r="AB514" s="4">
        <f t="shared" si="431"/>
        <v>2.2096545432359114</v>
      </c>
      <c r="AC514" s="47" t="str">
        <f t="shared" si="432"/>
        <v>-3,31171661745279+2,25827873511308i</v>
      </c>
      <c r="AD514" s="20">
        <f t="shared" si="433"/>
        <v>12.059426269646291</v>
      </c>
      <c r="AE514" s="43">
        <f t="shared" si="434"/>
        <v>145.7096965525067</v>
      </c>
      <c r="AF514" t="str">
        <f t="shared" si="416"/>
        <v>171,265703090588</v>
      </c>
      <c r="AG514" t="str">
        <f t="shared" si="417"/>
        <v>1+22620,3904503125i</v>
      </c>
      <c r="AH514">
        <f t="shared" si="435"/>
        <v>22620.390472416449</v>
      </c>
      <c r="AI514">
        <f t="shared" si="436"/>
        <v>1.5707521188931124</v>
      </c>
      <c r="AJ514" t="str">
        <f t="shared" si="418"/>
        <v>1+286,516655291479i</v>
      </c>
      <c r="AK514">
        <f t="shared" si="437"/>
        <v>286.51840038541366</v>
      </c>
      <c r="AL514">
        <f t="shared" si="438"/>
        <v>1.5673061424685537</v>
      </c>
      <c r="AM514" t="str">
        <f t="shared" si="419"/>
        <v>1-7,20423556694905i</v>
      </c>
      <c r="AN514">
        <f t="shared" si="439"/>
        <v>7.2733080578299241</v>
      </c>
      <c r="AO514">
        <f t="shared" si="440"/>
        <v>-1.4328704152462823</v>
      </c>
      <c r="AP514" s="41" t="str">
        <f t="shared" si="441"/>
        <v>2,11544861249656-15,6356461888754i</v>
      </c>
      <c r="AQ514">
        <f t="shared" si="442"/>
        <v>23.961096090546469</v>
      </c>
      <c r="AR514" s="43">
        <f t="shared" si="443"/>
        <v>-82.294867288198489</v>
      </c>
      <c r="AS514" t="str">
        <f t="shared" si="420"/>
        <v>-0,0000166666666666667</v>
      </c>
      <c r="AT514" t="str">
        <f t="shared" si="421"/>
        <v>0,0189903239127192i</v>
      </c>
      <c r="AU514">
        <f t="shared" si="444"/>
        <v>1.8990323912719199E-2</v>
      </c>
      <c r="AV514">
        <f t="shared" si="445"/>
        <v>1.5707963267948966</v>
      </c>
      <c r="AW514" t="str">
        <f t="shared" si="422"/>
        <v>1+6,39086033770251i</v>
      </c>
      <c r="AX514">
        <f t="shared" si="446"/>
        <v>6.4686239538265831</v>
      </c>
      <c r="AY514">
        <f t="shared" si="447"/>
        <v>1.4155814623500764</v>
      </c>
      <c r="AZ514" t="str">
        <f t="shared" si="423"/>
        <v>1+1512,80793993901i</v>
      </c>
      <c r="BA514">
        <f t="shared" si="448"/>
        <v>1512.8082704501956</v>
      </c>
      <c r="BB514">
        <f t="shared" si="449"/>
        <v>1.5701353044483388</v>
      </c>
      <c r="BC514" s="41" t="str">
        <f t="shared" si="450"/>
        <v>-0,0315964142361917+0,20280591049187i</v>
      </c>
      <c r="BD514">
        <f t="shared" si="451"/>
        <v>-13.754232747358239</v>
      </c>
      <c r="BE514" s="43">
        <f t="shared" si="452"/>
        <v>98.855282859761772</v>
      </c>
      <c r="BF514" s="41" t="str">
        <f t="shared" si="453"/>
        <v>-0,353353904941119-0,742989214268985i</v>
      </c>
      <c r="BG514" s="20">
        <f t="shared" si="454"/>
        <v>-1.6948064777119443</v>
      </c>
      <c r="BH514" s="43">
        <f t="shared" si="455"/>
        <v>-115.43502058773151</v>
      </c>
      <c r="BI514" s="41" t="str">
        <f t="shared" si="460"/>
        <v>3,10416087080779+0,923055835790367i</v>
      </c>
      <c r="BJ514" s="20">
        <f t="shared" si="456"/>
        <v>10.206863343188218</v>
      </c>
      <c r="BK514" s="43">
        <f t="shared" si="461"/>
        <v>16.560415571563311</v>
      </c>
      <c r="BL514">
        <f t="shared" si="457"/>
        <v>-1.6948064777119443</v>
      </c>
      <c r="BM514" s="43">
        <f t="shared" si="458"/>
        <v>-115.43502058773151</v>
      </c>
    </row>
    <row r="515" spans="14:65" x14ac:dyDescent="0.25">
      <c r="N515" s="9">
        <v>97</v>
      </c>
      <c r="O515" s="34">
        <f t="shared" si="459"/>
        <v>933254.30079699249</v>
      </c>
      <c r="P515" s="33" t="str">
        <f t="shared" si="411"/>
        <v>54,631621870174</v>
      </c>
      <c r="Q515" s="4" t="str">
        <f t="shared" si="412"/>
        <v>1+23370,9474046273i</v>
      </c>
      <c r="R515" s="4">
        <f t="shared" si="424"/>
        <v>23370.947426021379</v>
      </c>
      <c r="S515" s="4">
        <f t="shared" si="425"/>
        <v>1.5707535386279441</v>
      </c>
      <c r="T515" s="4" t="str">
        <f t="shared" si="413"/>
        <v>1+293,190485531491i</v>
      </c>
      <c r="U515" s="4">
        <f t="shared" si="426"/>
        <v>293.19219090247174</v>
      </c>
      <c r="V515" s="4">
        <f t="shared" si="427"/>
        <v>1.5673855881398837</v>
      </c>
      <c r="W515" t="str">
        <f t="shared" si="414"/>
        <v>1-23,3340857493244i</v>
      </c>
      <c r="X515" s="4">
        <f t="shared" si="428"/>
        <v>23.355503800107247</v>
      </c>
      <c r="Y515" s="4">
        <f t="shared" si="429"/>
        <v>-1.5279667735366322</v>
      </c>
      <c r="Z515" t="str">
        <f t="shared" si="415"/>
        <v>-2,48385435982434+3,20591465487705i</v>
      </c>
      <c r="AA515" s="4">
        <f t="shared" si="430"/>
        <v>4.0555420420917612</v>
      </c>
      <c r="AB515" s="4">
        <f t="shared" si="431"/>
        <v>2.2299642178397834</v>
      </c>
      <c r="AC515" s="47" t="str">
        <f t="shared" si="432"/>
        <v>-3,2130027335843+2,29236722185058i</v>
      </c>
      <c r="AD515" s="20">
        <f t="shared" si="433"/>
        <v>11.925210121692784</v>
      </c>
      <c r="AE515" s="43">
        <f t="shared" si="434"/>
        <v>144.49344514414312</v>
      </c>
      <c r="AF515" t="str">
        <f t="shared" si="416"/>
        <v>171,265703090588</v>
      </c>
      <c r="AG515" t="str">
        <f t="shared" si="417"/>
        <v>1+23147,2870304593i</v>
      </c>
      <c r="AH515">
        <f t="shared" si="435"/>
        <v>23147.287052060103</v>
      </c>
      <c r="AI515">
        <f t="shared" si="436"/>
        <v>1.5707531251878115</v>
      </c>
      <c r="AJ515" t="str">
        <f t="shared" si="418"/>
        <v>1+293,190485531491i</v>
      </c>
      <c r="AK515">
        <f t="shared" si="437"/>
        <v>293.19219090247174</v>
      </c>
      <c r="AL515">
        <f t="shared" si="438"/>
        <v>1.5673855881398837</v>
      </c>
      <c r="AM515" t="str">
        <f t="shared" si="419"/>
        <v>1-7,37204377039873i</v>
      </c>
      <c r="AN515">
        <f t="shared" si="439"/>
        <v>7.4395584111340058</v>
      </c>
      <c r="AO515">
        <f t="shared" si="440"/>
        <v>-1.4359716507251359</v>
      </c>
      <c r="AP515" s="41" t="str">
        <f t="shared" si="441"/>
        <v>2,11544859761815-15,9995027800318i</v>
      </c>
      <c r="AQ515">
        <f t="shared" si="442"/>
        <v>24.157397222609667</v>
      </c>
      <c r="AR515" s="43">
        <f t="shared" si="443"/>
        <v>-82.468060747184424</v>
      </c>
      <c r="AS515" t="str">
        <f t="shared" si="420"/>
        <v>-0,0000166666666666667</v>
      </c>
      <c r="AT515" t="str">
        <f t="shared" si="421"/>
        <v>0,0194326653810272i</v>
      </c>
      <c r="AU515">
        <f t="shared" si="444"/>
        <v>1.9432665381027201E-2</v>
      </c>
      <c r="AV515">
        <f t="shared" si="445"/>
        <v>1.5707963267948966</v>
      </c>
      <c r="AW515" t="str">
        <f t="shared" si="422"/>
        <v>1+6,53972259821599i</v>
      </c>
      <c r="AX515">
        <f t="shared" si="446"/>
        <v>6.6157366680980356</v>
      </c>
      <c r="AY515">
        <f t="shared" si="447"/>
        <v>1.4190599892845657</v>
      </c>
      <c r="AZ515" t="str">
        <f t="shared" si="423"/>
        <v>1+1548,04576360627i</v>
      </c>
      <c r="BA515">
        <f t="shared" si="448"/>
        <v>1548.0460865941036</v>
      </c>
      <c r="BB515">
        <f t="shared" si="449"/>
        <v>1.5701503511497221</v>
      </c>
      <c r="BC515" s="41" t="str">
        <f t="shared" si="450"/>
        <v>-0,0302068325170046+0,198401967644205i</v>
      </c>
      <c r="BD515">
        <f t="shared" si="451"/>
        <v>-13.94955894547385</v>
      </c>
      <c r="BE515" s="43">
        <f t="shared" si="452"/>
        <v>98.656840059977881</v>
      </c>
      <c r="BF515" s="41" t="str">
        <f t="shared" si="453"/>
        <v>-0,357755531928176-0,706711217127246i</v>
      </c>
      <c r="BG515" s="20">
        <f t="shared" si="454"/>
        <v>-2.0243488237810672</v>
      </c>
      <c r="BH515" s="43">
        <f t="shared" si="455"/>
        <v>-116.849714795879</v>
      </c>
      <c r="BI515" s="41" t="str">
        <f t="shared" si="460"/>
        <v>3,11043183140065+0,903003465049385i</v>
      </c>
      <c r="BJ515" s="20">
        <f t="shared" si="456"/>
        <v>10.207838277135808</v>
      </c>
      <c r="BK515" s="43">
        <f t="shared" si="461"/>
        <v>16.188779312793482</v>
      </c>
      <c r="BL515">
        <f t="shared" si="457"/>
        <v>-2.0243488237810672</v>
      </c>
      <c r="BM515" s="43">
        <f t="shared" si="458"/>
        <v>-116.849714795879</v>
      </c>
    </row>
    <row r="516" spans="14:65" x14ac:dyDescent="0.25">
      <c r="N516" s="9">
        <v>98</v>
      </c>
      <c r="O516" s="34">
        <f t="shared" si="459"/>
        <v>954992.58602143743</v>
      </c>
      <c r="P516" s="33" t="str">
        <f t="shared" si="411"/>
        <v>54,631621870174</v>
      </c>
      <c r="Q516" s="4" t="str">
        <f t="shared" si="412"/>
        <v>1+23915,3267021172i</v>
      </c>
      <c r="R516" s="4">
        <f t="shared" si="424"/>
        <v>23915.326723024293</v>
      </c>
      <c r="S516" s="4">
        <f t="shared" si="425"/>
        <v>1.5707545126055329</v>
      </c>
      <c r="T516" s="4" t="str">
        <f t="shared" si="413"/>
        <v>1+300,019769247766i</v>
      </c>
      <c r="U516" s="4">
        <f t="shared" si="426"/>
        <v>300.02143579998204</v>
      </c>
      <c r="V516" s="4">
        <f t="shared" si="427"/>
        <v>1.5674632254485543</v>
      </c>
      <c r="W516" t="str">
        <f t="shared" si="414"/>
        <v>1-23,8776064285619i</v>
      </c>
      <c r="X516" s="4">
        <f t="shared" si="428"/>
        <v>23.898537376946326</v>
      </c>
      <c r="Y516" s="4">
        <f t="shared" si="429"/>
        <v>-1.5289405417161064</v>
      </c>
      <c r="Z516" t="str">
        <f t="shared" si="415"/>
        <v>-2,64804335742365+3,28059000018586i</v>
      </c>
      <c r="AA516" s="4">
        <f t="shared" si="430"/>
        <v>4.2159701578776589</v>
      </c>
      <c r="AB516" s="4">
        <f t="shared" si="431"/>
        <v>2.2499030959751516</v>
      </c>
      <c r="AC516" s="47" t="str">
        <f t="shared" si="432"/>
        <v>-3,11490374406616+2,32180888055388i</v>
      </c>
      <c r="AD516" s="20">
        <f t="shared" si="433"/>
        <v>11.787877093495787</v>
      </c>
      <c r="AE516" s="43">
        <f t="shared" si="434"/>
        <v>143.29963125716722</v>
      </c>
      <c r="AF516" t="str">
        <f t="shared" si="416"/>
        <v>171,265703090588</v>
      </c>
      <c r="AG516" t="str">
        <f t="shared" si="417"/>
        <v>1+23686,4566085801i</v>
      </c>
      <c r="AH516">
        <f t="shared" si="435"/>
        <v>23686.456629689208</v>
      </c>
      <c r="AI516">
        <f t="shared" si="436"/>
        <v>1.5707541085764467</v>
      </c>
      <c r="AJ516" t="str">
        <f t="shared" si="418"/>
        <v>1+300,019769247766i</v>
      </c>
      <c r="AK516">
        <f t="shared" si="437"/>
        <v>300.02143579998204</v>
      </c>
      <c r="AL516">
        <f t="shared" si="438"/>
        <v>1.5674632254485543</v>
      </c>
      <c r="AM516" t="str">
        <f t="shared" si="419"/>
        <v>1-7,54376072903601i</v>
      </c>
      <c r="AN516">
        <f t="shared" si="439"/>
        <v>7.6097520286107825</v>
      </c>
      <c r="AO516">
        <f t="shared" si="440"/>
        <v>-1.4390048168062226</v>
      </c>
      <c r="AP516" s="41" t="str">
        <f t="shared" si="441"/>
        <v>2,11544858340938-16,3718425193406i</v>
      </c>
      <c r="AQ516">
        <f t="shared" si="442"/>
        <v>24.353861891689313</v>
      </c>
      <c r="AR516" s="43">
        <f t="shared" si="443"/>
        <v>-82.63745641609178</v>
      </c>
      <c r="AS516" t="str">
        <f t="shared" si="420"/>
        <v>-0,0000166666666666667</v>
      </c>
      <c r="AT516" t="str">
        <f t="shared" si="421"/>
        <v>0,019885310305742i</v>
      </c>
      <c r="AU516">
        <f t="shared" si="444"/>
        <v>1.9885310305742001E-2</v>
      </c>
      <c r="AV516">
        <f t="shared" si="445"/>
        <v>1.5707963267948966</v>
      </c>
      <c r="AW516" t="str">
        <f t="shared" si="422"/>
        <v>1+6,69205230621451i</v>
      </c>
      <c r="AX516">
        <f t="shared" si="446"/>
        <v>6.7663553017197486</v>
      </c>
      <c r="AY516">
        <f t="shared" si="447"/>
        <v>1.4224629147639978</v>
      </c>
      <c r="AZ516" t="str">
        <f t="shared" si="423"/>
        <v>1+1584,10438162821i</v>
      </c>
      <c r="BA516">
        <f t="shared" si="448"/>
        <v>1584.1046972639447</v>
      </c>
      <c r="BB516">
        <f t="shared" si="449"/>
        <v>1.5701650553466493</v>
      </c>
      <c r="BC516" s="41" t="str">
        <f t="shared" si="450"/>
        <v>-0,0288769958493346+0,194084506302329i</v>
      </c>
      <c r="BD516">
        <f t="shared" si="451"/>
        <v>-14.145090798859636</v>
      </c>
      <c r="BE516" s="43">
        <f t="shared" si="452"/>
        <v>98.462709280433856</v>
      </c>
      <c r="BF516" s="41" t="str">
        <f t="shared" si="453"/>
        <v>-0,360678067822188-0,67160142075306i</v>
      </c>
      <c r="BG516" s="20">
        <f t="shared" si="454"/>
        <v>-2.3572137053638418</v>
      </c>
      <c r="BH516" s="43">
        <f t="shared" si="455"/>
        <v>-118.23765946239891</v>
      </c>
      <c r="BI516" s="41" t="str">
        <f t="shared" si="460"/>
        <v>3,1164331726631+0,883345422395929i</v>
      </c>
      <c r="BJ516" s="20">
        <f t="shared" si="456"/>
        <v>10.208771092829663</v>
      </c>
      <c r="BK516" s="43">
        <f t="shared" si="461"/>
        <v>15.825252864342101</v>
      </c>
      <c r="BL516">
        <f t="shared" si="457"/>
        <v>-2.3572137053638418</v>
      </c>
      <c r="BM516" s="43">
        <f t="shared" si="458"/>
        <v>-118.23765946239891</v>
      </c>
    </row>
    <row r="517" spans="14:65" x14ac:dyDescent="0.25">
      <c r="N517" s="9">
        <v>99</v>
      </c>
      <c r="O517" s="34">
        <f t="shared" si="459"/>
        <v>977237.22095581202</v>
      </c>
      <c r="P517" s="33" t="str">
        <f t="shared" si="411"/>
        <v>54,631621870174</v>
      </c>
      <c r="Q517" s="4" t="str">
        <f t="shared" si="412"/>
        <v>1+24472,3862223814i</v>
      </c>
      <c r="R517" s="4">
        <f t="shared" si="424"/>
        <v>24472.38624281259</v>
      </c>
      <c r="S517" s="4">
        <f t="shared" si="425"/>
        <v>1.5707554644126853</v>
      </c>
      <c r="T517" s="4" t="str">
        <f t="shared" si="413"/>
        <v>1+307,008127416928i</v>
      </c>
      <c r="U517" s="4">
        <f t="shared" si="426"/>
        <v>307.0097560339878</v>
      </c>
      <c r="V517" s="4">
        <f t="shared" si="427"/>
        <v>1.5675390955551483</v>
      </c>
      <c r="W517" t="str">
        <f t="shared" si="414"/>
        <v>1-24,4337873307853i</v>
      </c>
      <c r="X517" s="4">
        <f t="shared" si="428"/>
        <v>24.454242235776686</v>
      </c>
      <c r="Y517" s="4">
        <f t="shared" si="429"/>
        <v>-1.5298922209778392</v>
      </c>
      <c r="Z517" t="str">
        <f t="shared" si="415"/>
        <v>-2,81997034408576+3,35700475773651i</v>
      </c>
      <c r="AA517" s="4">
        <f t="shared" si="430"/>
        <v>4.3842574838835278</v>
      </c>
      <c r="AB517" s="4">
        <f t="shared" si="431"/>
        <v>2.2694712320100909</v>
      </c>
      <c r="AC517" s="47" t="str">
        <f t="shared" si="432"/>
        <v>-3,01764298968515+2,34678445225411i</v>
      </c>
      <c r="AD517" s="20">
        <f t="shared" si="433"/>
        <v>11.647562195569218</v>
      </c>
      <c r="AE517" s="43">
        <f t="shared" si="434"/>
        <v>142.1282249466463</v>
      </c>
      <c r="AF517" t="str">
        <f t="shared" si="416"/>
        <v>171,265703090588</v>
      </c>
      <c r="AG517" t="str">
        <f t="shared" si="417"/>
        <v>1+24238,1850595222i</v>
      </c>
      <c r="AH517">
        <f t="shared" si="435"/>
        <v>24238.185080150804</v>
      </c>
      <c r="AI517">
        <f t="shared" si="436"/>
        <v>1.5707550695804238</v>
      </c>
      <c r="AJ517" t="str">
        <f t="shared" si="418"/>
        <v>1+307,008127416928i</v>
      </c>
      <c r="AK517">
        <f t="shared" si="437"/>
        <v>307.0097560339878</v>
      </c>
      <c r="AL517">
        <f t="shared" si="438"/>
        <v>1.5675390955551483</v>
      </c>
      <c r="AM517" t="str">
        <f t="shared" si="419"/>
        <v>1-7,7194774894653i</v>
      </c>
      <c r="AN517">
        <f t="shared" si="439"/>
        <v>7.7839792336800002</v>
      </c>
      <c r="AO517">
        <f t="shared" si="440"/>
        <v>-1.4419712983530077</v>
      </c>
      <c r="AP517" s="41" t="str">
        <f t="shared" si="441"/>
        <v>2,11544856984011-16,75286282626i</v>
      </c>
      <c r="AQ517">
        <f t="shared" si="442"/>
        <v>24.550482991679846</v>
      </c>
      <c r="AR517" s="43">
        <f t="shared" si="443"/>
        <v>-82.80313131329892</v>
      </c>
      <c r="AS517" t="str">
        <f t="shared" si="420"/>
        <v>-0,0000166666666666667</v>
      </c>
      <c r="AT517" t="str">
        <f t="shared" si="421"/>
        <v>0,020348498685194i</v>
      </c>
      <c r="AU517">
        <f t="shared" si="444"/>
        <v>2.0348498685193998E-2</v>
      </c>
      <c r="AV517">
        <f t="shared" si="445"/>
        <v>1.5707963267948966</v>
      </c>
      <c r="AW517" t="str">
        <f t="shared" si="422"/>
        <v>1+6,84793022892557i</v>
      </c>
      <c r="AX517">
        <f t="shared" si="446"/>
        <v>6.9205598343076709</v>
      </c>
      <c r="AY517">
        <f t="shared" si="447"/>
        <v>1.4257917276573211</v>
      </c>
      <c r="AZ517" t="str">
        <f t="shared" si="423"/>
        <v>1+1621,00291276138i</v>
      </c>
      <c r="BA517">
        <f t="shared" si="448"/>
        <v>1621.0032212123695</v>
      </c>
      <c r="BB517">
        <f t="shared" si="449"/>
        <v>1.5701794248354544</v>
      </c>
      <c r="BC517" s="41" t="str">
        <f t="shared" si="450"/>
        <v>-0,0276044534290739+0,189852432334907i</v>
      </c>
      <c r="BD517">
        <f t="shared" si="451"/>
        <v>-14.340819456257897</v>
      </c>
      <c r="BE517" s="43">
        <f t="shared" si="452"/>
        <v>98.272805661920074</v>
      </c>
      <c r="BF517" s="41" t="str">
        <f t="shared" si="453"/>
        <v>-0,36224235105185-0,63768856363043i</v>
      </c>
      <c r="BG517" s="20">
        <f t="shared" si="454"/>
        <v>-2.6932572606886742</v>
      </c>
      <c r="BH517" s="43">
        <f t="shared" si="455"/>
        <v>-119.59896939143363</v>
      </c>
      <c r="BI517" s="41" t="str">
        <f t="shared" si="460"/>
        <v>3,12217595461075+0,864076678154703i</v>
      </c>
      <c r="BJ517" s="20">
        <f t="shared" si="456"/>
        <v>10.209663535421942</v>
      </c>
      <c r="BK517" s="43">
        <f t="shared" si="461"/>
        <v>15.469674348621188</v>
      </c>
      <c r="BL517">
        <f t="shared" si="457"/>
        <v>-2.6932572606886742</v>
      </c>
      <c r="BM517" s="43">
        <f t="shared" si="458"/>
        <v>-119.59896939143363</v>
      </c>
    </row>
    <row r="518" spans="14:65" x14ac:dyDescent="0.25">
      <c r="N518" s="9">
        <v>100</v>
      </c>
      <c r="O518" s="34">
        <f t="shared" si="459"/>
        <v>1000000</v>
      </c>
      <c r="P518" s="33" t="str">
        <f t="shared" si="411"/>
        <v>54,631621870174</v>
      </c>
      <c r="Q518" s="4" t="str">
        <f t="shared" si="412"/>
        <v>1+25042,4213257509i</v>
      </c>
      <c r="R518" s="4">
        <f t="shared" si="424"/>
        <v>25042.421345717015</v>
      </c>
      <c r="S518" s="4">
        <f t="shared" si="425"/>
        <v>1.5707563945540617</v>
      </c>
      <c r="T518" s="4" t="str">
        <f t="shared" si="413"/>
        <v>1+314,159265358979i</v>
      </c>
      <c r="U518" s="4">
        <f t="shared" si="426"/>
        <v>314.16085690437848</v>
      </c>
      <c r="V518" s="4">
        <f t="shared" si="427"/>
        <v>1.5676132386835049</v>
      </c>
      <c r="W518" t="str">
        <f t="shared" si="414"/>
        <v>1-25,0029233504708i</v>
      </c>
      <c r="X518" s="4">
        <f t="shared" si="428"/>
        <v>25.022913021259495</v>
      </c>
      <c r="Y518" s="4">
        <f t="shared" si="429"/>
        <v>-1.5308223090154045</v>
      </c>
      <c r="Z518" t="str">
        <f t="shared" si="415"/>
        <v>-3,00000000000001+3,43519944364491i</v>
      </c>
      <c r="AA518" s="4">
        <f t="shared" si="430"/>
        <v>4.5607669549778969</v>
      </c>
      <c r="AB518" s="4">
        <f t="shared" si="431"/>
        <v>2.28866934282666</v>
      </c>
      <c r="AC518" s="47" t="str">
        <f t="shared" si="432"/>
        <v>-2,9214230818373+2,36748177642621i</v>
      </c>
      <c r="AD518" s="20">
        <f t="shared" si="433"/>
        <v>11.504396664371599</v>
      </c>
      <c r="AE518" s="43">
        <f t="shared" si="434"/>
        <v>140.97915889826376</v>
      </c>
      <c r="AF518" t="str">
        <f t="shared" si="416"/>
        <v>171,265703090588</v>
      </c>
      <c r="AG518" t="str">
        <f t="shared" si="417"/>
        <v>1+24802,7649170131i</v>
      </c>
      <c r="AH518">
        <f t="shared" si="435"/>
        <v>24802.764937172145</v>
      </c>
      <c r="AI518">
        <f t="shared" si="436"/>
        <v>1.5707560087092798</v>
      </c>
      <c r="AJ518" t="str">
        <f t="shared" si="418"/>
        <v>1+314,159265358979i</v>
      </c>
      <c r="AK518">
        <f t="shared" si="437"/>
        <v>314.16085690437848</v>
      </c>
      <c r="AL518">
        <f t="shared" si="438"/>
        <v>1.5676132386835049</v>
      </c>
      <c r="AM518" t="str">
        <f t="shared" si="419"/>
        <v>1-7,89928721903887i</v>
      </c>
      <c r="AN518">
        <f t="shared" si="439"/>
        <v>7.9623324829393329</v>
      </c>
      <c r="AO518">
        <f t="shared" si="440"/>
        <v>-1.4448724592818869</v>
      </c>
      <c r="AP518" s="41" t="str">
        <f t="shared" si="441"/>
        <v>2,11544855688155-17,1427657228003i</v>
      </c>
      <c r="AQ518">
        <f t="shared" si="442"/>
        <v>24.747253714484604</v>
      </c>
      <c r="AR518" s="43">
        <f t="shared" si="443"/>
        <v>-82.965161309997129</v>
      </c>
      <c r="AS518" t="str">
        <f t="shared" si="420"/>
        <v>-0,0000166666666666667</v>
      </c>
      <c r="AT518" t="str">
        <f t="shared" si="421"/>
        <v>0,0208224761079931i</v>
      </c>
      <c r="AU518">
        <f t="shared" si="444"/>
        <v>2.08224761079931E-2</v>
      </c>
      <c r="AV518">
        <f t="shared" si="445"/>
        <v>1.5707963267948966</v>
      </c>
      <c r="AW518" t="str">
        <f t="shared" si="422"/>
        <v>1+7,00743901488707i</v>
      </c>
      <c r="AX518">
        <f t="shared" si="446"/>
        <v>7.0784321390659297</v>
      </c>
      <c r="AY518">
        <f t="shared" si="447"/>
        <v>1.4290478976995464</v>
      </c>
      <c r="AZ518" t="str">
        <f t="shared" si="423"/>
        <v>1+1658,76092109541i</v>
      </c>
      <c r="BA518">
        <f t="shared" si="448"/>
        <v>1658.7612225251992</v>
      </c>
      <c r="BB518">
        <f t="shared" si="449"/>
        <v>1.5701934672350071</v>
      </c>
      <c r="BC518" s="41" t="str">
        <f t="shared" si="450"/>
        <v>-0,0263868447906857+0,185704622800862i</v>
      </c>
      <c r="BD518">
        <f t="shared" si="451"/>
        <v>-14.536736430285654</v>
      </c>
      <c r="BE518" s="43">
        <f t="shared" si="452"/>
        <v>98.087045431352195</v>
      </c>
      <c r="BF518" s="41" t="str">
        <f t="shared" si="453"/>
        <v>-0,362565172850777-0,604992145633663i</v>
      </c>
      <c r="BG518" s="20">
        <f t="shared" si="454"/>
        <v>-3.0323397659140507</v>
      </c>
      <c r="BH518" s="43">
        <f t="shared" si="455"/>
        <v>-120.93379567038406</v>
      </c>
      <c r="BI518" s="41" t="str">
        <f t="shared" si="460"/>
        <v>3,12767082958306+0,845192074720934i</v>
      </c>
      <c r="BJ518" s="20">
        <f t="shared" si="456"/>
        <v>10.210517284198941</v>
      </c>
      <c r="BK518" s="43">
        <f t="shared" si="461"/>
        <v>15.12188412135507</v>
      </c>
      <c r="BL518">
        <f t="shared" si="457"/>
        <v>-3.0323397659140507</v>
      </c>
      <c r="BM518" s="43">
        <f t="shared" si="458"/>
        <v>-120.93379567038406</v>
      </c>
    </row>
    <row r="519" spans="14:65" x14ac:dyDescent="0.25">
      <c r="N519" s="9">
        <v>1</v>
      </c>
      <c r="O519" s="34">
        <f>10^(6+(N519/100))</f>
        <v>1023292.9922807553</v>
      </c>
      <c r="P519" s="33" t="str">
        <f t="shared" si="411"/>
        <v>54,631621870174</v>
      </c>
      <c r="Q519" s="4" t="str">
        <f t="shared" si="412"/>
        <v>1+25625,7342523831i</v>
      </c>
      <c r="R519" s="4">
        <f t="shared" si="424"/>
        <v>25625.734271894733</v>
      </c>
      <c r="S519" s="4">
        <f t="shared" si="425"/>
        <v>1.5707573035228357</v>
      </c>
      <c r="T519" s="4" t="str">
        <f t="shared" si="413"/>
        <v>1+321,476974701914i</v>
      </c>
      <c r="U519" s="4">
        <f t="shared" si="426"/>
        <v>321.47853001949454</v>
      </c>
      <c r="V519" s="4">
        <f t="shared" si="427"/>
        <v>1.5676856941420294</v>
      </c>
      <c r="W519" t="str">
        <f t="shared" si="414"/>
        <v>1-25,5853162510696i</v>
      </c>
      <c r="X519" s="4">
        <f t="shared" si="428"/>
        <v>25.604851252589736</v>
      </c>
      <c r="Y519" s="4">
        <f t="shared" si="429"/>
        <v>-1.5317312925334379</v>
      </c>
      <c r="Z519" t="str">
        <f t="shared" si="415"/>
        <v>-3,18851419220362+3,51521551776859i</v>
      </c>
      <c r="AA519" s="4">
        <f t="shared" si="430"/>
        <v>4.7458785161701096</v>
      </c>
      <c r="AB519" s="4">
        <f t="shared" si="431"/>
        <v>2.3074987542373591</v>
      </c>
      <c r="AC519" s="47" t="str">
        <f t="shared" si="432"/>
        <v>-2,82642641680873+2,3840938174158i</v>
      </c>
      <c r="AD519" s="20">
        <f t="shared" si="433"/>
        <v>11.358507787308522</v>
      </c>
      <c r="AE519" s="43">
        <f t="shared" si="434"/>
        <v>139.85233148638673</v>
      </c>
      <c r="AF519" t="str">
        <f t="shared" si="416"/>
        <v>171,265703090588</v>
      </c>
      <c r="AG519" t="str">
        <f t="shared" si="417"/>
        <v>1+25380,4955287665i</v>
      </c>
      <c r="AH519">
        <f t="shared" si="435"/>
        <v>25380.495548466664</v>
      </c>
      <c r="AI519">
        <f t="shared" si="436"/>
        <v>1.5707569264609531</v>
      </c>
      <c r="AJ519" t="str">
        <f t="shared" si="418"/>
        <v>1+321,476974701914i</v>
      </c>
      <c r="AK519">
        <f t="shared" si="437"/>
        <v>321.47853001949454</v>
      </c>
      <c r="AL519">
        <f t="shared" si="438"/>
        <v>1.5676856941420294</v>
      </c>
      <c r="AM519" t="str">
        <f t="shared" si="419"/>
        <v>1-8,08328525525541i</v>
      </c>
      <c r="AN519">
        <f t="shared" si="439"/>
        <v>8.1449064155353863</v>
      </c>
      <c r="AO519">
        <f t="shared" si="440"/>
        <v>-1.4477096423763716</v>
      </c>
      <c r="AP519" s="41" t="str">
        <f t="shared" si="441"/>
        <v>2,11544854450623-17,5417579406381i</v>
      </c>
      <c r="AQ519">
        <f t="shared" si="442"/>
        <v>24.944167538452668</v>
      </c>
      <c r="AR519" s="43">
        <f t="shared" si="443"/>
        <v>-83.123621118338377</v>
      </c>
      <c r="AS519" t="str">
        <f t="shared" si="420"/>
        <v>-0,0000166666666666667</v>
      </c>
      <c r="AT519" t="str">
        <f t="shared" si="421"/>
        <v>0,0213074938832428i</v>
      </c>
      <c r="AU519">
        <f t="shared" si="444"/>
        <v>2.1307493883242799E-2</v>
      </c>
      <c r="AV519">
        <f t="shared" si="445"/>
        <v>1.5707963267948966</v>
      </c>
      <c r="AW519" t="str">
        <f t="shared" si="422"/>
        <v>1+7,1706632377687i</v>
      </c>
      <c r="AX519">
        <f t="shared" si="446"/>
        <v>7.2400560266815264</v>
      </c>
      <c r="AY519">
        <f t="shared" si="447"/>
        <v>1.4322328750190361</v>
      </c>
      <c r="AZ519" t="str">
        <f t="shared" si="423"/>
        <v>1+1697,39842642611i</v>
      </c>
      <c r="BA519">
        <f t="shared" si="448"/>
        <v>1697.3987209945208</v>
      </c>
      <c r="BB519">
        <f t="shared" si="449"/>
        <v>1.5702071899907513</v>
      </c>
      <c r="BC519" s="41" t="str">
        <f t="shared" si="450"/>
        <v>-0,0252218973748456+0,181639929709039i</v>
      </c>
      <c r="BD519">
        <f t="shared" si="451"/>
        <v>-14.732833583953404</v>
      </c>
      <c r="BE519" s="43">
        <f t="shared" si="452"/>
        <v>97.905345929087943</v>
      </c>
      <c r="BF519" s="41" t="str">
        <f t="shared" si="453"/>
        <v>-0,361758796392858-0,573523265271774i</v>
      </c>
      <c r="BG519" s="20">
        <f t="shared" si="454"/>
        <v>-3.3743257966448805</v>
      </c>
      <c r="BH519" s="43">
        <f t="shared" si="455"/>
        <v>-122.2423225845253</v>
      </c>
      <c r="BI519" s="41" t="str">
        <f t="shared" si="460"/>
        <v>3,13292805321918+0,826686343480358i</v>
      </c>
      <c r="BJ519" s="20">
        <f t="shared" si="456"/>
        <v>10.211333954499269</v>
      </c>
      <c r="BK519" s="43">
        <f t="shared" si="461"/>
        <v>14.781724810749575</v>
      </c>
      <c r="BL519">
        <f t="shared" si="457"/>
        <v>-3.3743257966448805</v>
      </c>
      <c r="BM519" s="43">
        <f t="shared" si="458"/>
        <v>-122.2423225845253</v>
      </c>
    </row>
    <row r="520" spans="14:65" x14ac:dyDescent="0.25">
      <c r="N520" s="9">
        <v>2</v>
      </c>
      <c r="O520" s="34">
        <f t="shared" ref="O520:O560" si="462">10^(6+(N520/100))</f>
        <v>1047128.5480509007</v>
      </c>
      <c r="P520" s="33" t="str">
        <f t="shared" si="411"/>
        <v>54,631621870174</v>
      </c>
      <c r="Q520" s="4" t="str">
        <f t="shared" si="412"/>
        <v>1+26222,6342825124i</v>
      </c>
      <c r="R520" s="4">
        <f t="shared" si="424"/>
        <v>26222.634301579896</v>
      </c>
      <c r="S520" s="4">
        <f t="shared" si="425"/>
        <v>1.5707581918009543</v>
      </c>
      <c r="T520" s="4" t="str">
        <f t="shared" si="413"/>
        <v>1+328,965135392086i</v>
      </c>
      <c r="U520" s="4">
        <f t="shared" si="426"/>
        <v>328.96665530648153</v>
      </c>
      <c r="V520" s="4">
        <f t="shared" si="427"/>
        <v>1.5677565003445204</v>
      </c>
      <c r="W520" t="str">
        <f t="shared" si="414"/>
        <v>1-26,1812748250064i</v>
      </c>
      <c r="X520" s="4">
        <f t="shared" si="428"/>
        <v>26.200365483376636</v>
      </c>
      <c r="Y520" s="4">
        <f t="shared" si="429"/>
        <v>-1.5326196474752165</v>
      </c>
      <c r="Z520" t="str">
        <f t="shared" si="415"/>
        <v>-3,38591278457276+3,59709540568916i</v>
      </c>
      <c r="AA520" s="4">
        <f t="shared" si="430"/>
        <v>4.9399899536702829</v>
      </c>
      <c r="AB520" s="4">
        <f t="shared" si="431"/>
        <v>2.3259613488122621</v>
      </c>
      <c r="AC520" s="47" t="str">
        <f t="shared" si="432"/>
        <v>-2,73281583490442+2,39681686032939i</v>
      </c>
      <c r="AD520" s="20">
        <f t="shared" si="433"/>
        <v>11.210018770561538</v>
      </c>
      <c r="AE520" s="43">
        <f t="shared" si="434"/>
        <v>138.74760975148888</v>
      </c>
      <c r="AF520" t="str">
        <f t="shared" si="416"/>
        <v>171,265703090588</v>
      </c>
      <c r="AG520" t="str">
        <f t="shared" si="417"/>
        <v>1+25971,6832151998i</v>
      </c>
      <c r="AH520">
        <f t="shared" si="435"/>
        <v>25971.683234451531</v>
      </c>
      <c r="AI520">
        <f t="shared" si="436"/>
        <v>1.5707578233220481</v>
      </c>
      <c r="AJ520" t="str">
        <f t="shared" si="418"/>
        <v>1+328,965135392086i</v>
      </c>
      <c r="AK520">
        <f t="shared" si="437"/>
        <v>328.96665530648153</v>
      </c>
      <c r="AL520">
        <f t="shared" si="438"/>
        <v>1.5677565003445204</v>
      </c>
      <c r="AM520" t="str">
        <f t="shared" si="419"/>
        <v>1-8,2715691563092i</v>
      </c>
      <c r="AN520">
        <f t="shared" si="439"/>
        <v>8.3317979036703527</v>
      </c>
      <c r="AO520">
        <f t="shared" si="440"/>
        <v>-1.4504841691451964</v>
      </c>
      <c r="AP520" s="41" t="str">
        <f t="shared" si="441"/>
        <v>2,11544853268789-17,9500510307285i</v>
      </c>
      <c r="AQ520">
        <f t="shared" si="442"/>
        <v>25.141218217182676</v>
      </c>
      <c r="AR520" s="43">
        <f t="shared" si="443"/>
        <v>-83.278584282127554</v>
      </c>
      <c r="AS520" t="str">
        <f t="shared" si="420"/>
        <v>-0,0000166666666666667</v>
      </c>
      <c r="AT520" t="str">
        <f t="shared" si="421"/>
        <v>0,0218038091737874i</v>
      </c>
      <c r="AU520">
        <f t="shared" si="444"/>
        <v>2.1803809173787402E-2</v>
      </c>
      <c r="AV520">
        <f t="shared" si="445"/>
        <v>1.5707963267948966</v>
      </c>
      <c r="AW520" t="str">
        <f t="shared" si="422"/>
        <v>1+7,33768944121393i</v>
      </c>
      <c r="AX520">
        <f t="shared" si="446"/>
        <v>7.4055172902169639</v>
      </c>
      <c r="AY520">
        <f t="shared" si="447"/>
        <v>1.4353480897282207</v>
      </c>
      <c r="AZ520" t="str">
        <f t="shared" si="423"/>
        <v>1+1736,93591487021i</v>
      </c>
      <c r="BA520">
        <f t="shared" si="448"/>
        <v>1736.9362027334259</v>
      </c>
      <c r="BB520">
        <f t="shared" si="449"/>
        <v>1.570220600378653</v>
      </c>
      <c r="BC520" s="41" t="str">
        <f t="shared" si="450"/>
        <v>-0,0241074240769794+0,177657183534017i</v>
      </c>
      <c r="BD520">
        <f t="shared" si="451"/>
        <v>-14.929103117552334</v>
      </c>
      <c r="BE520" s="43">
        <f t="shared" si="452"/>
        <v>97.727625632602994</v>
      </c>
      <c r="BF520" s="41" t="str">
        <f t="shared" si="453"/>
        <v>-0,359930582596639-0,543285444833097i</v>
      </c>
      <c r="BG520" s="20">
        <f t="shared" si="454"/>
        <v>-3.7190843469908028</v>
      </c>
      <c r="BH520" s="43">
        <f t="shared" si="455"/>
        <v>-123.52476461590811</v>
      </c>
      <c r="BI520" s="41" t="str">
        <f t="shared" si="460"/>
        <v>3,13795749552057+0,808554120629693i</v>
      </c>
      <c r="BJ520" s="20">
        <f t="shared" si="456"/>
        <v>10.212115099630331</v>
      </c>
      <c r="BK520" s="43">
        <f t="shared" si="461"/>
        <v>14.449041350475454</v>
      </c>
      <c r="BL520">
        <f t="shared" si="457"/>
        <v>-3.7190843469908028</v>
      </c>
      <c r="BM520" s="43">
        <f t="shared" si="458"/>
        <v>-123.52476461590811</v>
      </c>
    </row>
    <row r="521" spans="14:65" x14ac:dyDescent="0.25">
      <c r="N521" s="9">
        <v>3</v>
      </c>
      <c r="O521" s="34">
        <f t="shared" si="462"/>
        <v>1071519.3052376076</v>
      </c>
      <c r="P521" s="33" t="str">
        <f t="shared" si="411"/>
        <v>54,631621870174</v>
      </c>
      <c r="Q521" s="4" t="str">
        <f t="shared" si="412"/>
        <v>1+26833,437900436i</v>
      </c>
      <c r="R521" s="4">
        <f t="shared" si="424"/>
        <v>26833.437919069464</v>
      </c>
      <c r="S521" s="4">
        <f t="shared" si="425"/>
        <v>1.5707590598593943</v>
      </c>
      <c r="T521" s="4" t="str">
        <f t="shared" si="413"/>
        <v>1+336,627717751411i</v>
      </c>
      <c r="U521" s="4">
        <f t="shared" si="426"/>
        <v>336.62920306848548</v>
      </c>
      <c r="V521" s="4">
        <f t="shared" si="427"/>
        <v>1.5678256948305218</v>
      </c>
      <c r="W521" t="str">
        <f t="shared" si="414"/>
        <v>1-26,7911150574056i</v>
      </c>
      <c r="X521" s="4">
        <f t="shared" si="428"/>
        <v>26.809771465253956</v>
      </c>
      <c r="Y521" s="4">
        <f t="shared" si="429"/>
        <v>-1.533487839246553</v>
      </c>
      <c r="Z521" t="str">
        <f t="shared" si="415"/>
        <v>-3,59261448598754+3,68088252120701i</v>
      </c>
      <c r="AA521" s="4">
        <f t="shared" si="430"/>
        <v>5.1435177631514781</v>
      </c>
      <c r="AB521" s="4">
        <f t="shared" si="431"/>
        <v>2.3440595154509971</v>
      </c>
      <c r="AC521" s="47" t="str">
        <f t="shared" si="432"/>
        <v>-2,64073539650169+2,40584887861241i</v>
      </c>
      <c r="AD521" s="20">
        <f t="shared" si="433"/>
        <v>11.05904864592781</v>
      </c>
      <c r="AE521" s="43">
        <f t="shared" si="434"/>
        <v>137.66483227778784</v>
      </c>
      <c r="AF521" t="str">
        <f t="shared" si="416"/>
        <v>171,265703090588</v>
      </c>
      <c r="AG521" t="str">
        <f t="shared" si="417"/>
        <v>1+26576,6414318496i</v>
      </c>
      <c r="AH521">
        <f t="shared" si="435"/>
        <v>26576.641450663108</v>
      </c>
      <c r="AI521">
        <f t="shared" si="436"/>
        <v>1.5707586997680922</v>
      </c>
      <c r="AJ521" t="str">
        <f t="shared" si="418"/>
        <v>1+336,627717751411i</v>
      </c>
      <c r="AK521">
        <f t="shared" si="437"/>
        <v>336.62920306848548</v>
      </c>
      <c r="AL521">
        <f t="shared" si="438"/>
        <v>1.5678256948305218</v>
      </c>
      <c r="AM521" t="str">
        <f t="shared" si="419"/>
        <v>1-8,46423875281683i</v>
      </c>
      <c r="AN521">
        <f t="shared" si="439"/>
        <v>8.5231061042724434</v>
      </c>
      <c r="AO521">
        <f t="shared" si="440"/>
        <v>-1.4531973397211693</v>
      </c>
      <c r="AP521" s="41" t="str">
        <f t="shared" si="441"/>
        <v>2,11544852140146-18,3678614754725i</v>
      </c>
      <c r="AQ521">
        <f t="shared" si="442"/>
        <v>25.338399768688909</v>
      </c>
      <c r="AR521" s="43">
        <f t="shared" si="443"/>
        <v>-83.430123169875742</v>
      </c>
      <c r="AS521" t="str">
        <f t="shared" si="420"/>
        <v>-0,0000166666666666667</v>
      </c>
      <c r="AT521" t="str">
        <f t="shared" si="421"/>
        <v>0,0223116851325635i</v>
      </c>
      <c r="AU521">
        <f t="shared" si="444"/>
        <v>2.23116851325635E-2</v>
      </c>
      <c r="AV521">
        <f t="shared" si="445"/>
        <v>1.5707963267948966</v>
      </c>
      <c r="AW521" t="str">
        <f t="shared" si="422"/>
        <v>1+7,50860618472669i</v>
      </c>
      <c r="AX521">
        <f t="shared" si="446"/>
        <v>7.5749037510265378</v>
      </c>
      <c r="AY521">
        <f t="shared" si="447"/>
        <v>1.4383949515736032</v>
      </c>
      <c r="AZ521" t="str">
        <f t="shared" si="423"/>
        <v>1+1777,39434972745i</v>
      </c>
      <c r="BA521">
        <f t="shared" si="448"/>
        <v>1777.3946310381002</v>
      </c>
      <c r="BB521">
        <f t="shared" si="449"/>
        <v>1.5702337055090581</v>
      </c>
      <c r="BC521" s="41" t="str">
        <f t="shared" si="450"/>
        <v>-0,023041320787036+0,173755196499334i</v>
      </c>
      <c r="BD521">
        <f t="shared" si="451"/>
        <v>-15.125537555913377</v>
      </c>
      <c r="BE521" s="43">
        <f t="shared" si="452"/>
        <v>97.553804176765269</v>
      </c>
      <c r="BF521" s="41" t="str">
        <f t="shared" si="453"/>
        <v>-0,357182713266526-0,514275433499137i</v>
      </c>
      <c r="BG521" s="20">
        <f t="shared" si="454"/>
        <v>-4.0664889099855666</v>
      </c>
      <c r="BH521" s="43">
        <f t="shared" si="455"/>
        <v>-124.78136354544691</v>
      </c>
      <c r="BI521" s="41" t="str">
        <f t="shared" si="460"/>
        <v>3,1427686519532+0,790789961948538i</v>
      </c>
      <c r="BJ521" s="20">
        <f t="shared" si="456"/>
        <v>10.212862212775537</v>
      </c>
      <c r="BK521" s="43">
        <f t="shared" si="461"/>
        <v>14.12368100688953</v>
      </c>
      <c r="BL521">
        <f t="shared" si="457"/>
        <v>-4.0664889099855666</v>
      </c>
      <c r="BM521" s="43">
        <f t="shared" si="458"/>
        <v>-124.78136354544691</v>
      </c>
    </row>
    <row r="522" spans="14:65" x14ac:dyDescent="0.25">
      <c r="N522" s="9">
        <v>4</v>
      </c>
      <c r="O522" s="34">
        <f t="shared" si="462"/>
        <v>1096478.196143186</v>
      </c>
      <c r="P522" s="33" t="str">
        <f t="shared" si="411"/>
        <v>54,631621870174</v>
      </c>
      <c r="Q522" s="4" t="str">
        <f t="shared" si="412"/>
        <v>1+27458,468962317i</v>
      </c>
      <c r="R522" s="4">
        <f t="shared" si="424"/>
        <v>27458.468980526315</v>
      </c>
      <c r="S522" s="4">
        <f t="shared" si="425"/>
        <v>1.5707599081584123</v>
      </c>
      <c r="T522" s="4" t="str">
        <f t="shared" si="413"/>
        <v>1+344,468784582482i</v>
      </c>
      <c r="U522" s="4">
        <f t="shared" si="426"/>
        <v>344.47023608975627</v>
      </c>
      <c r="V522" s="4">
        <f t="shared" si="427"/>
        <v>1.5678933142852147</v>
      </c>
      <c r="W522" t="str">
        <f t="shared" si="414"/>
        <v>1-27,4151602936305i</v>
      </c>
      <c r="X522" s="4">
        <f t="shared" si="428"/>
        <v>27.433392315305348</v>
      </c>
      <c r="Y522" s="4">
        <f t="shared" si="429"/>
        <v>-1.5343363229359834</v>
      </c>
      <c r="Z522" t="str">
        <f t="shared" si="415"/>
        <v>-3,80905773846967+3,76662128935985i</v>
      </c>
      <c r="AA522" s="4">
        <f t="shared" si="430"/>
        <v>5.3568980569406524</v>
      </c>
      <c r="AB522" s="4">
        <f t="shared" si="431"/>
        <v>2.3617961009648476</v>
      </c>
      <c r="AC522" s="47" t="str">
        <f t="shared" si="432"/>
        <v>-2,55031124923698+2,41138807218638i</v>
      </c>
      <c r="AD522" s="20">
        <f t="shared" si="433"/>
        <v>10.905712212857566</v>
      </c>
      <c r="AE522" s="43">
        <f t="shared" si="434"/>
        <v>136.60381195589477</v>
      </c>
      <c r="AF522" t="str">
        <f t="shared" si="416"/>
        <v>171,265703090588</v>
      </c>
      <c r="AG522" t="str">
        <f t="shared" si="417"/>
        <v>1+27195,69093557i</v>
      </c>
      <c r="AH522">
        <f t="shared" si="435"/>
        <v>27195.690953955265</v>
      </c>
      <c r="AI522">
        <f t="shared" si="436"/>
        <v>1.5707595562637886</v>
      </c>
      <c r="AJ522" t="str">
        <f t="shared" si="418"/>
        <v>1+344,468784582482i</v>
      </c>
      <c r="AK522">
        <f t="shared" si="437"/>
        <v>344.47023608975627</v>
      </c>
      <c r="AL522">
        <f t="shared" si="438"/>
        <v>1.5678933142852147</v>
      </c>
      <c r="AM522" t="str">
        <f t="shared" si="419"/>
        <v>1-8,66139620074865i</v>
      </c>
      <c r="AN522">
        <f t="shared" si="439"/>
        <v>8.7189325118584975</v>
      </c>
      <c r="AO522">
        <f t="shared" si="440"/>
        <v>-1.4558504327977522</v>
      </c>
      <c r="AP522" s="41" t="str">
        <f t="shared" si="441"/>
        <v>2,11544851062301-18,795410803498i</v>
      </c>
      <c r="AQ522">
        <f t="shared" si="442"/>
        <v>25.535706464924534</v>
      </c>
      <c r="AR522" s="43">
        <f t="shared" si="443"/>
        <v>-83.578308970040979</v>
      </c>
      <c r="AS522" t="str">
        <f t="shared" si="420"/>
        <v>-0,0000166666666666667</v>
      </c>
      <c r="AT522" t="str">
        <f t="shared" si="421"/>
        <v>0,0228313910421269i</v>
      </c>
      <c r="AU522">
        <f t="shared" si="444"/>
        <v>2.2831391042126899E-2</v>
      </c>
      <c r="AV522">
        <f t="shared" si="445"/>
        <v>1.5707963267948966</v>
      </c>
      <c r="AW522" t="str">
        <f t="shared" si="422"/>
        <v>1+7,68350409062675i</v>
      </c>
      <c r="AX522">
        <f t="shared" si="446"/>
        <v>7.7483053057218916</v>
      </c>
      <c r="AY522">
        <f t="shared" si="447"/>
        <v>1.4413748496410812</v>
      </c>
      <c r="AZ522" t="str">
        <f t="shared" si="423"/>
        <v>1+1818,7951825955i</v>
      </c>
      <c r="BA522">
        <f t="shared" si="448"/>
        <v>1818.7954575027391</v>
      </c>
      <c r="BB522">
        <f t="shared" si="449"/>
        <v>1.5702465123304621</v>
      </c>
      <c r="BC522" s="41" t="str">
        <f t="shared" si="450"/>
        <v>-0,0220215639297527+0,169932765639235i</v>
      </c>
      <c r="BD522">
        <f t="shared" si="451"/>
        <v>-15.322129736038717</v>
      </c>
      <c r="BE522" s="43">
        <f t="shared" si="452"/>
        <v>97.383802370935086</v>
      </c>
      <c r="BF522" s="41" t="str">
        <f t="shared" si="453"/>
        <v>-0,353612001920255-0,486483980414788i</v>
      </c>
      <c r="BG522" s="20">
        <f t="shared" si="454"/>
        <v>-4.4164175231811527</v>
      </c>
      <c r="BH522" s="43">
        <f t="shared" si="455"/>
        <v>-126.01238567317009</v>
      </c>
      <c r="BI522" s="41" t="str">
        <f t="shared" si="460"/>
        <v>3,14737065454719+0,773388356572764i</v>
      </c>
      <c r="BJ522" s="20">
        <f t="shared" si="456"/>
        <v>10.213576728885823</v>
      </c>
      <c r="BK522" s="43">
        <f t="shared" si="461"/>
        <v>13.80549340089409</v>
      </c>
      <c r="BL522">
        <f t="shared" si="457"/>
        <v>-4.4164175231811527</v>
      </c>
      <c r="BM522" s="43">
        <f t="shared" si="458"/>
        <v>-126.01238567317009</v>
      </c>
    </row>
    <row r="523" spans="14:65" x14ac:dyDescent="0.25">
      <c r="N523" s="9">
        <v>5</v>
      </c>
      <c r="O523" s="34">
        <f t="shared" si="462"/>
        <v>1122018.4543019643</v>
      </c>
      <c r="P523" s="33" t="str">
        <f t="shared" si="411"/>
        <v>54,631621870174</v>
      </c>
      <c r="Q523" s="4" t="str">
        <f t="shared" si="412"/>
        <v>1+28098,0588678976i</v>
      </c>
      <c r="R523" s="4">
        <f t="shared" si="424"/>
        <v>28098.058885692419</v>
      </c>
      <c r="S523" s="4">
        <f t="shared" si="425"/>
        <v>1.570760737147787</v>
      </c>
      <c r="T523" s="4" t="str">
        <f t="shared" si="413"/>
        <v>1+352,492493322723i</v>
      </c>
      <c r="U523" s="4">
        <f t="shared" si="426"/>
        <v>352.49391178979238</v>
      </c>
      <c r="V523" s="4">
        <f t="shared" si="427"/>
        <v>1.5679593945588537</v>
      </c>
      <c r="W523" t="str">
        <f t="shared" si="414"/>
        <v>1-28,0537414107257i</v>
      </c>
      <c r="X523" s="4">
        <f t="shared" si="428"/>
        <v>28.071558687395079</v>
      </c>
      <c r="Y523" s="4">
        <f t="shared" si="429"/>
        <v>-1.5351655435312475</v>
      </c>
      <c r="Z523" t="str">
        <f t="shared" si="415"/>
        <v>-4,03570164717668+3,85435716997743i</v>
      </c>
      <c r="AA523" s="4">
        <f t="shared" si="430"/>
        <v>5.5805875119722819</v>
      </c>
      <c r="AB523" s="4">
        <f t="shared" si="431"/>
        <v>2.3791743638713769</v>
      </c>
      <c r="AC523" s="47" t="str">
        <f t="shared" si="432"/>
        <v>-2,46165256287647+2,41363157225218i</v>
      </c>
      <c r="AD523" s="20">
        <f t="shared" si="433"/>
        <v>10.750120011941458</v>
      </c>
      <c r="AE523" s="43">
        <f t="shared" si="434"/>
        <v>135.56433861888391</v>
      </c>
      <c r="AF523" t="str">
        <f t="shared" si="416"/>
        <v>171,265703090588</v>
      </c>
      <c r="AG523" t="str">
        <f t="shared" si="417"/>
        <v>1+27829,1599546021i</v>
      </c>
      <c r="AH523">
        <f t="shared" si="435"/>
        <v>27829.159972568865</v>
      </c>
      <c r="AI523">
        <f t="shared" si="436"/>
        <v>1.5707603932632628</v>
      </c>
      <c r="AJ523" t="str">
        <f t="shared" si="418"/>
        <v>1+352,492493322723i</v>
      </c>
      <c r="AK523">
        <f t="shared" si="437"/>
        <v>352.49391178979238</v>
      </c>
      <c r="AL523">
        <f t="shared" si="438"/>
        <v>1.5679593945588537</v>
      </c>
      <c r="AM523" t="str">
        <f t="shared" si="419"/>
        <v>1-8,86314603559324i</v>
      </c>
      <c r="AN523">
        <f t="shared" si="439"/>
        <v>8.9193810126180946</v>
      </c>
      <c r="AO523">
        <f t="shared" si="440"/>
        <v>-1.4584447056005287</v>
      </c>
      <c r="AP523" s="41" t="str">
        <f t="shared" si="441"/>
        <v>2,11544850032966-19,2329257071182i</v>
      </c>
      <c r="AQ523">
        <f t="shared" si="442"/>
        <v>25.733132821657708</v>
      </c>
      <c r="AR523" s="43">
        <f t="shared" si="443"/>
        <v>-83.723211688294413</v>
      </c>
      <c r="AS523" t="str">
        <f t="shared" si="420"/>
        <v>-0,0000166666666666667</v>
      </c>
      <c r="AT523" t="str">
        <f t="shared" si="421"/>
        <v>0,0233632024574301i</v>
      </c>
      <c r="AU523">
        <f t="shared" si="444"/>
        <v>2.33632024574301E-2</v>
      </c>
      <c r="AV523">
        <f t="shared" si="445"/>
        <v>1.5707963267948966</v>
      </c>
      <c r="AW523" t="str">
        <f t="shared" si="422"/>
        <v>1+7,86247589209886i</v>
      </c>
      <c r="AX523">
        <f t="shared" si="446"/>
        <v>7.9258139742133586</v>
      </c>
      <c r="AY523">
        <f t="shared" si="447"/>
        <v>1.4442891521128338</v>
      </c>
      <c r="AZ523" t="str">
        <f t="shared" si="423"/>
        <v>1+1861,16036474397i</v>
      </c>
      <c r="BA523">
        <f t="shared" si="448"/>
        <v>1861.1606333935574</v>
      </c>
      <c r="BB523">
        <f t="shared" si="449"/>
        <v>1.5702590276331947</v>
      </c>
      <c r="BC523" s="41" t="str">
        <f t="shared" si="450"/>
        <v>-0,0210462080136612+0,166188675649835i</v>
      </c>
      <c r="BD523">
        <f t="shared" si="451"/>
        <v>-15.518872795104686</v>
      </c>
      <c r="BE523" s="43">
        <f t="shared" si="452"/>
        <v>97.217542213105006</v>
      </c>
      <c r="BF523" s="41" t="str">
        <f t="shared" si="453"/>
        <v>-0,349309782603558-0,459896571472422i</v>
      </c>
      <c r="BG523" s="20">
        <f t="shared" si="454"/>
        <v>-4.7687527831632339</v>
      </c>
      <c r="BH523" s="43">
        <f t="shared" si="455"/>
        <v>-127.21811916801109</v>
      </c>
      <c r="BI523" s="41" t="str">
        <f t="shared" si="460"/>
        <v>3,15177228295751+0,756343739818517i</v>
      </c>
      <c r="BJ523" s="20">
        <f t="shared" si="456"/>
        <v>10.214260026553013</v>
      </c>
      <c r="BK523" s="43">
        <f t="shared" si="461"/>
        <v>13.494330524810602</v>
      </c>
      <c r="BL523">
        <f t="shared" si="457"/>
        <v>-4.7687527831632339</v>
      </c>
      <c r="BM523" s="43">
        <f t="shared" si="458"/>
        <v>-127.21811916801109</v>
      </c>
    </row>
    <row r="524" spans="14:65" x14ac:dyDescent="0.25">
      <c r="N524" s="9">
        <v>6</v>
      </c>
      <c r="O524" s="34">
        <f t="shared" si="462"/>
        <v>1148153.6214968837</v>
      </c>
      <c r="P524" s="33" t="str">
        <f t="shared" si="411"/>
        <v>54,631621870174</v>
      </c>
      <c r="Q524" s="4" t="str">
        <f t="shared" si="412"/>
        <v>1+28752,5467362117i</v>
      </c>
      <c r="R524" s="4">
        <f t="shared" si="424"/>
        <v>28752.546753601466</v>
      </c>
      <c r="S524" s="4">
        <f t="shared" si="425"/>
        <v>1.5707615472670595</v>
      </c>
      <c r="T524" s="4" t="str">
        <f t="shared" si="413"/>
        <v>1+360,703098248712i</v>
      </c>
      <c r="U524" s="4">
        <f t="shared" si="426"/>
        <v>360.70448442765445</v>
      </c>
      <c r="V524" s="4">
        <f t="shared" si="427"/>
        <v>1.5680239706857648</v>
      </c>
      <c r="W524" t="str">
        <f t="shared" si="414"/>
        <v>1-28,707196992852i</v>
      </c>
      <c r="X524" s="4">
        <f t="shared" si="428"/>
        <v>28.724608947493277</v>
      </c>
      <c r="Y524" s="4">
        <f t="shared" si="429"/>
        <v>-1.5359759361320537</v>
      </c>
      <c r="Z524" t="str">
        <f t="shared" si="415"/>
        <v>-4,27302695422564+3,94413668178499i</v>
      </c>
      <c r="AA524" s="4">
        <f t="shared" si="430"/>
        <v>5.81506436044699</v>
      </c>
      <c r="AB524" s="4">
        <f t="shared" si="431"/>
        <v>2.3961979305474439</v>
      </c>
      <c r="AC524" s="47" t="str">
        <f t="shared" si="432"/>
        <v>-2,37485251087149+2,41277430665834i</v>
      </c>
      <c r="AD524" s="20">
        <f t="shared" si="433"/>
        <v>10.592378326221146</v>
      </c>
      <c r="AE524" s="43">
        <f t="shared" si="434"/>
        <v>134.54618154342506</v>
      </c>
      <c r="AF524" t="str">
        <f t="shared" si="416"/>
        <v>171,265703090588</v>
      </c>
      <c r="AG524" t="str">
        <f t="shared" si="417"/>
        <v>1+28477,3843626045i</v>
      </c>
      <c r="AH524">
        <f t="shared" si="435"/>
        <v>28477.384380162293</v>
      </c>
      <c r="AI524">
        <f t="shared" si="436"/>
        <v>1.5707612112103031</v>
      </c>
      <c r="AJ524" t="str">
        <f t="shared" si="418"/>
        <v>1+360,703098248712i</v>
      </c>
      <c r="AK524">
        <f t="shared" si="437"/>
        <v>360.70448442765445</v>
      </c>
      <c r="AL524">
        <f t="shared" si="438"/>
        <v>1.5680239706857648</v>
      </c>
      <c r="AM524" t="str">
        <f t="shared" si="419"/>
        <v>1-9,06959522778351i</v>
      </c>
      <c r="AN524">
        <f t="shared" si="439"/>
        <v>9.124557939748831</v>
      </c>
      <c r="AO524">
        <f t="shared" si="440"/>
        <v>-1.4609813938908718</v>
      </c>
      <c r="AP524" s="41" t="str">
        <f t="shared" si="441"/>
        <v>2,11544849049959-19,6806381625261i</v>
      </c>
      <c r="AQ524">
        <f t="shared" si="442"/>
        <v>25.930673588692969</v>
      </c>
      <c r="AR524" s="43">
        <f t="shared" si="443"/>
        <v>-83.864900146655259</v>
      </c>
      <c r="AS524" t="str">
        <f t="shared" si="420"/>
        <v>-0,0000166666666666667</v>
      </c>
      <c r="AT524" t="str">
        <f t="shared" si="421"/>
        <v>0,0239074013519247i</v>
      </c>
      <c r="AU524">
        <f t="shared" si="444"/>
        <v>2.3907401351924699E-2</v>
      </c>
      <c r="AV524">
        <f t="shared" si="445"/>
        <v>1.5707963267948966</v>
      </c>
      <c r="AW524" t="str">
        <f t="shared" si="422"/>
        <v>1+8,04561648236114i</v>
      </c>
      <c r="AX524">
        <f t="shared" si="446"/>
        <v>8.1075239488540056</v>
      </c>
      <c r="AY524">
        <f t="shared" si="447"/>
        <v>1.447139206072193</v>
      </c>
      <c r="AZ524" t="str">
        <f t="shared" si="423"/>
        <v>1+1904,5123587532i</v>
      </c>
      <c r="BA524">
        <f t="shared" si="448"/>
        <v>1904.5126212875768</v>
      </c>
      <c r="BB524">
        <f t="shared" si="449"/>
        <v>1.5702712580530189</v>
      </c>
      <c r="BC524" s="41" t="str">
        <f t="shared" si="450"/>
        <v>-0,020113383196163+0,162521701540319i</v>
      </c>
      <c r="BD524">
        <f t="shared" si="451"/>
        <v>-15.715760158834202</v>
      </c>
      <c r="BE524" s="43">
        <f t="shared" si="452"/>
        <v>97.054946901286783</v>
      </c>
      <c r="BF524" s="41" t="str">
        <f t="shared" si="453"/>
        <v>-0,344361867165349-0,434494125169809i</v>
      </c>
      <c r="BG524" s="20">
        <f t="shared" si="454"/>
        <v>-5.1233818326130551</v>
      </c>
      <c r="BH524" s="43">
        <f t="shared" si="455"/>
        <v>-128.3988715552882</v>
      </c>
      <c r="BI524" s="41" t="str">
        <f t="shared" si="460"/>
        <v>3,15598197545192+0,739650505104809i</v>
      </c>
      <c r="BJ524" s="20">
        <f t="shared" si="456"/>
        <v>10.214913429858779</v>
      </c>
      <c r="BK524" s="43">
        <f t="shared" si="461"/>
        <v>13.190046754631497</v>
      </c>
      <c r="BL524">
        <f t="shared" si="457"/>
        <v>-5.1233818326130551</v>
      </c>
      <c r="BM524" s="43">
        <f t="shared" si="458"/>
        <v>-128.3988715552882</v>
      </c>
    </row>
    <row r="525" spans="14:65" x14ac:dyDescent="0.25">
      <c r="N525" s="9">
        <v>7</v>
      </c>
      <c r="O525" s="34">
        <f t="shared" si="462"/>
        <v>1174897.5549395324</v>
      </c>
      <c r="P525" s="33" t="str">
        <f t="shared" si="411"/>
        <v>54,631621870174</v>
      </c>
      <c r="Q525" s="4" t="str">
        <f t="shared" si="412"/>
        <v>1+29422,2795853903i</v>
      </c>
      <c r="R525" s="4">
        <f t="shared" si="424"/>
        <v>29422.279602384224</v>
      </c>
      <c r="S525" s="4">
        <f t="shared" si="425"/>
        <v>1.5707623389457663</v>
      </c>
      <c r="T525" s="4" t="str">
        <f t="shared" si="413"/>
        <v>1+369,104952731865i</v>
      </c>
      <c r="U525" s="4">
        <f t="shared" si="426"/>
        <v>369.10630735763965</v>
      </c>
      <c r="V525" s="4">
        <f t="shared" si="427"/>
        <v>1.56808707690291</v>
      </c>
      <c r="W525" t="str">
        <f t="shared" si="414"/>
        <v>1-29,3758735108087i</v>
      </c>
      <c r="X525" s="4">
        <f t="shared" si="428"/>
        <v>29.392889353090691</v>
      </c>
      <c r="Y525" s="4">
        <f t="shared" si="429"/>
        <v>-1.5367679261591414</v>
      </c>
      <c r="Z525" t="str">
        <f t="shared" si="415"/>
        <v>-4,52153705841158+4,03600742706805i</v>
      </c>
      <c r="AA525" s="4">
        <f t="shared" si="430"/>
        <v>6.0608294252468209</v>
      </c>
      <c r="AB525" s="4">
        <f t="shared" si="431"/>
        <v>2.4128707538363465</v>
      </c>
      <c r="AC525" s="47" t="str">
        <f t="shared" si="432"/>
        <v>-2,28998928007304+2,40900801803372i</v>
      </c>
      <c r="AD525" s="20">
        <f t="shared" si="433"/>
        <v>10.432589206859596</v>
      </c>
      <c r="AE525" s="43">
        <f t="shared" si="434"/>
        <v>133.5490918104897</v>
      </c>
      <c r="AF525" t="str">
        <f t="shared" si="416"/>
        <v>171,265703090588</v>
      </c>
      <c r="AG525" t="str">
        <f t="shared" si="417"/>
        <v>1+29140,7078567387i</v>
      </c>
      <c r="AH525">
        <f t="shared" si="435"/>
        <v>29140.707873896823</v>
      </c>
      <c r="AI525">
        <f t="shared" si="436"/>
        <v>1.5707620105385955</v>
      </c>
      <c r="AJ525" t="str">
        <f t="shared" si="418"/>
        <v>1+369,104952731865i</v>
      </c>
      <c r="AK525">
        <f t="shared" si="437"/>
        <v>369.10630735763965</v>
      </c>
      <c r="AL525">
        <f t="shared" si="438"/>
        <v>1.56808707690291</v>
      </c>
      <c r="AM525" t="str">
        <f t="shared" si="419"/>
        <v>1-9,28085323941386i</v>
      </c>
      <c r="AN525">
        <f t="shared" si="439"/>
        <v>9.3345721300731679</v>
      </c>
      <c r="AO525">
        <f t="shared" si="440"/>
        <v>-1.4634617119992732</v>
      </c>
      <c r="AP525" s="41" t="str">
        <f t="shared" si="441"/>
        <v>2,11544848111195-20,138785552792i</v>
      </c>
      <c r="AQ525">
        <f t="shared" si="442"/>
        <v>26.128323740432677</v>
      </c>
      <c r="AR525" s="43">
        <f t="shared" si="443"/>
        <v>-84.003441984350701</v>
      </c>
      <c r="AS525" t="str">
        <f t="shared" si="420"/>
        <v>-0,0000166666666666667</v>
      </c>
      <c r="AT525" t="str">
        <f t="shared" si="421"/>
        <v>0,024464276267068i</v>
      </c>
      <c r="AU525">
        <f t="shared" si="444"/>
        <v>2.4464276267068E-2</v>
      </c>
      <c r="AV525">
        <f t="shared" si="445"/>
        <v>1.5707963267948966</v>
      </c>
      <c r="AW525" t="str">
        <f t="shared" si="422"/>
        <v>1+8,2330229649787i</v>
      </c>
      <c r="AX525">
        <f t="shared" si="446"/>
        <v>8.2935316447136476</v>
      </c>
      <c r="AY525">
        <f t="shared" si="447"/>
        <v>1.4499263373531022</v>
      </c>
      <c r="AZ525" t="str">
        <f t="shared" si="423"/>
        <v>1+1948,87415042424i</v>
      </c>
      <c r="BA525">
        <f t="shared" si="448"/>
        <v>1948.8744069826057</v>
      </c>
      <c r="BB525">
        <f t="shared" si="449"/>
        <v>1.5702832100746511</v>
      </c>
      <c r="BC525" s="41" t="str">
        <f t="shared" si="450"/>
        <v>-0,0192212928711327+0,15893061109451i</v>
      </c>
      <c r="BD525">
        <f t="shared" si="451"/>
        <v>-15.912785530236295</v>
      </c>
      <c r="BE525" s="43">
        <f t="shared" si="452"/>
        <v>96.89594084233795</v>
      </c>
      <c r="BF525" s="41" t="str">
        <f t="shared" si="453"/>
        <v>-0,338848561813635-0,410253644325418i</v>
      </c>
      <c r="BG525" s="20">
        <f t="shared" si="454"/>
        <v>-5.480196323376707</v>
      </c>
      <c r="BH525" s="43">
        <f t="shared" si="455"/>
        <v>-129.55496734717235</v>
      </c>
      <c r="BI525" s="41" t="str">
        <f t="shared" si="460"/>
        <v>3,16000783979728+0,723303015021226i</v>
      </c>
      <c r="BJ525" s="20">
        <f t="shared" si="456"/>
        <v>10.215538210196387</v>
      </c>
      <c r="BK525" s="43">
        <f t="shared" si="461"/>
        <v>12.892498857987226</v>
      </c>
      <c r="BL525">
        <f t="shared" si="457"/>
        <v>-5.480196323376707</v>
      </c>
      <c r="BM525" s="43">
        <f t="shared" si="458"/>
        <v>-129.55496734717235</v>
      </c>
    </row>
    <row r="526" spans="14:65" x14ac:dyDescent="0.25">
      <c r="N526" s="9">
        <v>8</v>
      </c>
      <c r="O526" s="34">
        <f t="shared" si="462"/>
        <v>1202264.4346174158</v>
      </c>
      <c r="P526" s="33" t="str">
        <f t="shared" si="411"/>
        <v>54,631621870174</v>
      </c>
      <c r="Q526" s="4" t="str">
        <f t="shared" si="412"/>
        <v>1+30107,612516655i</v>
      </c>
      <c r="R526" s="4">
        <f t="shared" si="424"/>
        <v>30107.612533262094</v>
      </c>
      <c r="S526" s="4">
        <f t="shared" si="425"/>
        <v>1.5707631126036659</v>
      </c>
      <c r="T526" s="4" t="str">
        <f t="shared" si="413"/>
        <v>1+377,702511546636i</v>
      </c>
      <c r="U526" s="4">
        <f t="shared" si="426"/>
        <v>377.7038353374727</v>
      </c>
      <c r="V526" s="4">
        <f t="shared" si="427"/>
        <v>1.5681487466680293</v>
      </c>
      <c r="W526" t="str">
        <f t="shared" si="414"/>
        <v>1-30,0601255057364i</v>
      </c>
      <c r="X526" s="4">
        <f t="shared" si="428"/>
        <v>30.076754236795971</v>
      </c>
      <c r="Y526" s="4">
        <f t="shared" si="429"/>
        <v>-1.5375419295596402</v>
      </c>
      <c r="Z526" t="str">
        <f t="shared" si="415"/>
        <v>-4,78175908298375+4,13001811691181i</v>
      </c>
      <c r="AA526" s="4">
        <f t="shared" si="430"/>
        <v>6.3184072022715787</v>
      </c>
      <c r="AB526" s="4">
        <f t="shared" si="431"/>
        <v>2.4291970741611495</v>
      </c>
      <c r="AC526" s="47" t="str">
        <f t="shared" si="432"/>
        <v>-2,20712709250801+2,4025204256396i</v>
      </c>
      <c r="AD526" s="20">
        <f t="shared" si="433"/>
        <v>10.270850519901032</v>
      </c>
      <c r="AE526" s="43">
        <f t="shared" si="434"/>
        <v>132.57280452265516</v>
      </c>
      <c r="AF526" t="str">
        <f t="shared" si="416"/>
        <v>171,265703090588</v>
      </c>
      <c r="AG526" t="str">
        <f t="shared" si="417"/>
        <v>1+29819,4821399015i</v>
      </c>
      <c r="AH526">
        <f t="shared" si="435"/>
        <v>29819.482156669063</v>
      </c>
      <c r="AI526">
        <f t="shared" si="436"/>
        <v>1.5707627916719547</v>
      </c>
      <c r="AJ526" t="str">
        <f t="shared" si="418"/>
        <v>1+377,702511546636i</v>
      </c>
      <c r="AK526">
        <f t="shared" si="437"/>
        <v>377.7038353374727</v>
      </c>
      <c r="AL526">
        <f t="shared" si="438"/>
        <v>1.5681487466680293</v>
      </c>
      <c r="AM526" t="str">
        <f t="shared" si="419"/>
        <v>1-9,49703208227834i</v>
      </c>
      <c r="AN526">
        <f t="shared" si="439"/>
        <v>9.5495349819676587</v>
      </c>
      <c r="AO526">
        <f t="shared" si="440"/>
        <v>-1.465886852885955</v>
      </c>
      <c r="AP526" s="41" t="str">
        <f t="shared" si="441"/>
        <v>2,11544847214682-20,6076107937261i</v>
      </c>
      <c r="AQ526">
        <f t="shared" si="442"/>
        <v>26.326078466770131</v>
      </c>
      <c r="AR526" s="43">
        <f t="shared" si="443"/>
        <v>-84.138903660262002</v>
      </c>
      <c r="AS526" t="str">
        <f t="shared" si="420"/>
        <v>-0,0000166666666666667</v>
      </c>
      <c r="AT526" t="str">
        <f t="shared" si="421"/>
        <v>0,025034122465311i</v>
      </c>
      <c r="AU526">
        <f t="shared" si="444"/>
        <v>2.5034122465311E-2</v>
      </c>
      <c r="AV526">
        <f t="shared" si="445"/>
        <v>1.5707963267948966</v>
      </c>
      <c r="AW526" t="str">
        <f t="shared" si="422"/>
        <v>1+8,42479470534922i</v>
      </c>
      <c r="AX526">
        <f t="shared" si="446"/>
        <v>8.4839357510108613</v>
      </c>
      <c r="AY526">
        <f t="shared" si="447"/>
        <v>1.4526518504309514</v>
      </c>
      <c r="AZ526" t="str">
        <f t="shared" si="423"/>
        <v>1+1994,26926096624i</v>
      </c>
      <c r="BA526">
        <f t="shared" si="448"/>
        <v>1994.2695116846248</v>
      </c>
      <c r="BB526">
        <f t="shared" si="449"/>
        <v>1.5702948900351972</v>
      </c>
      <c r="BC526" s="41" t="str">
        <f t="shared" si="450"/>
        <v>-0,018368211284729+0,155414167152852i</v>
      </c>
      <c r="BD526">
        <f t="shared" si="451"/>
        <v>-16.109942878707816</v>
      </c>
      <c r="BE526" s="43">
        <f t="shared" si="452"/>
        <v>96.740449658413667</v>
      </c>
      <c r="BF526" s="41" t="str">
        <f t="shared" si="453"/>
        <v>-0,332844734251057-0,387148821676653i</v>
      </c>
      <c r="BG526" s="20">
        <f t="shared" si="454"/>
        <v>-5.8390923588067913</v>
      </c>
      <c r="BH526" s="43">
        <f t="shared" si="455"/>
        <v>-130.68674581893114</v>
      </c>
      <c r="BI526" s="41" t="str">
        <f t="shared" si="460"/>
        <v>3,16385766401872+0,707295611586094i</v>
      </c>
      <c r="BJ526" s="20">
        <f t="shared" si="456"/>
        <v>10.216135588062329</v>
      </c>
      <c r="BK526" s="43">
        <f t="shared" si="461"/>
        <v>12.601545998151638</v>
      </c>
      <c r="BL526">
        <f t="shared" si="457"/>
        <v>-5.8390923588067913</v>
      </c>
      <c r="BM526" s="43">
        <f t="shared" si="458"/>
        <v>-130.68674581893114</v>
      </c>
    </row>
    <row r="527" spans="14:65" x14ac:dyDescent="0.25">
      <c r="N527" s="9">
        <v>9</v>
      </c>
      <c r="O527" s="34">
        <f t="shared" si="462"/>
        <v>1230268.770812382</v>
      </c>
      <c r="P527" s="33" t="str">
        <f t="shared" si="411"/>
        <v>54,631621870174</v>
      </c>
      <c r="Q527" s="4" t="str">
        <f t="shared" si="412"/>
        <v>1+30808,9089025974i</v>
      </c>
      <c r="R527" s="4">
        <f t="shared" si="424"/>
        <v>30808.90891882647</v>
      </c>
      <c r="S527" s="4">
        <f t="shared" si="425"/>
        <v>1.5707638686509613</v>
      </c>
      <c r="T527" s="4" t="str">
        <f t="shared" si="413"/>
        <v>1+386,500333232513i</v>
      </c>
      <c r="U527" s="4">
        <f t="shared" si="426"/>
        <v>386.50162689029344</v>
      </c>
      <c r="V527" s="4">
        <f t="shared" si="427"/>
        <v>1.5682090126773709</v>
      </c>
      <c r="W527" t="str">
        <f t="shared" si="414"/>
        <v>1-30,7603157770999i</v>
      </c>
      <c r="X527" s="4">
        <f t="shared" si="428"/>
        <v>30.776566194215057</v>
      </c>
      <c r="Y527" s="4">
        <f t="shared" si="429"/>
        <v>-1.5382983530087511</v>
      </c>
      <c r="Z527" t="str">
        <f t="shared" si="415"/>
        <v>-5,05424499374485+4,22621859702841i</v>
      </c>
      <c r="AA527" s="4">
        <f t="shared" si="430"/>
        <v>6.5883469919748201</v>
      </c>
      <c r="AB527" s="4">
        <f t="shared" si="431"/>
        <v>2.4451813831587561</v>
      </c>
      <c r="AC527" s="47" t="str">
        <f t="shared" si="432"/>
        <v>-2,12631722544831+2,39349452105289i</v>
      </c>
      <c r="AD527" s="20">
        <f t="shared" si="433"/>
        <v>10.107256011065115</v>
      </c>
      <c r="AE527" s="43">
        <f t="shared" si="434"/>
        <v>131.61704087716458</v>
      </c>
      <c r="AF527" t="str">
        <f t="shared" si="416"/>
        <v>171,265703090588</v>
      </c>
      <c r="AG527" t="str">
        <f t="shared" si="417"/>
        <v>1+30514,0671072022i</v>
      </c>
      <c r="AH527">
        <f t="shared" si="435"/>
        <v>30514.067123588087</v>
      </c>
      <c r="AI527">
        <f t="shared" si="436"/>
        <v>1.570763555024548</v>
      </c>
      <c r="AJ527" t="str">
        <f t="shared" si="418"/>
        <v>1+386,500333232513i</v>
      </c>
      <c r="AK527">
        <f t="shared" si="437"/>
        <v>386.50162689029344</v>
      </c>
      <c r="AL527">
        <f t="shared" si="438"/>
        <v>1.5682090126773709</v>
      </c>
      <c r="AM527" t="str">
        <f t="shared" si="419"/>
        <v>1-9,7182463772609i</v>
      </c>
      <c r="AN527">
        <f t="shared" si="439"/>
        <v>9.7695605146365008</v>
      </c>
      <c r="AO527">
        <f t="shared" si="440"/>
        <v>-1.468257988226511</v>
      </c>
      <c r="AP527" s="41" t="str">
        <f t="shared" si="441"/>
        <v>2,11544846358519-21,087362462677i</v>
      </c>
      <c r="AQ527">
        <f t="shared" si="442"/>
        <v>26.523933164308943</v>
      </c>
      <c r="AR527" s="43">
        <f t="shared" si="443"/>
        <v>-84.271350456828699</v>
      </c>
      <c r="AS527" t="str">
        <f t="shared" si="420"/>
        <v>-0,0000166666666666667</v>
      </c>
      <c r="AT527" t="str">
        <f t="shared" si="421"/>
        <v>0,0256172420866509i</v>
      </c>
      <c r="AU527">
        <f t="shared" si="444"/>
        <v>2.56172420866509E-2</v>
      </c>
      <c r="AV527">
        <f t="shared" si="445"/>
        <v>1.5707963267948966</v>
      </c>
      <c r="AW527" t="str">
        <f t="shared" si="422"/>
        <v>1+8,62103338338784i</v>
      </c>
      <c r="AX527">
        <f t="shared" si="446"/>
        <v>8.6788372837314789</v>
      </c>
      <c r="AY527">
        <f t="shared" si="447"/>
        <v>1.4553170283517396</v>
      </c>
      <c r="AZ527" t="str">
        <f t="shared" si="423"/>
        <v>1+2040,72175946766i</v>
      </c>
      <c r="BA527">
        <f t="shared" si="448"/>
        <v>2040.7220044789985</v>
      </c>
      <c r="BB527">
        <f t="shared" si="449"/>
        <v>1.5703063041275145</v>
      </c>
      <c r="BC527" s="41" t="str">
        <f t="shared" si="450"/>
        <v>-0,017552481184357+0,151971129724488i</v>
      </c>
      <c r="BD527">
        <f t="shared" si="451"/>
        <v>-16.307226429494051</v>
      </c>
      <c r="BE527" s="43">
        <f t="shared" si="452"/>
        <v>96.588400191217829</v>
      </c>
      <c r="BF527" s="41" t="str">
        <f t="shared" si="453"/>
        <v>-0,326419923262124-0,365150598449661i</v>
      </c>
      <c r="BG527" s="20">
        <f t="shared" si="454"/>
        <v>-6.1999704184289408</v>
      </c>
      <c r="BH527" s="43">
        <f t="shared" si="455"/>
        <v>-131.79455893161753</v>
      </c>
      <c r="BI527" s="41" t="str">
        <f t="shared" si="460"/>
        <v>3,16753892700923+0,691622625738828i</v>
      </c>
      <c r="BJ527" s="20">
        <f t="shared" si="456"/>
        <v>10.216706734814897</v>
      </c>
      <c r="BK527" s="43">
        <f t="shared" si="461"/>
        <v>12.317049734389144</v>
      </c>
      <c r="BL527">
        <f t="shared" si="457"/>
        <v>-6.1999704184289408</v>
      </c>
      <c r="BM527" s="43">
        <f t="shared" si="458"/>
        <v>-131.79455893161753</v>
      </c>
    </row>
    <row r="528" spans="14:65" x14ac:dyDescent="0.25">
      <c r="N528" s="9">
        <v>10</v>
      </c>
      <c r="O528" s="34">
        <f t="shared" si="462"/>
        <v>1258925.4117941677</v>
      </c>
      <c r="P528" s="33" t="str">
        <f t="shared" si="411"/>
        <v>54,631621870174</v>
      </c>
      <c r="Q528" s="4" t="str">
        <f t="shared" si="412"/>
        <v>1+31526,540579844i</v>
      </c>
      <c r="R528" s="4">
        <f t="shared" si="424"/>
        <v>31526.540595703653</v>
      </c>
      <c r="S528" s="4">
        <f t="shared" si="425"/>
        <v>1.5707646074885195</v>
      </c>
      <c r="T528" s="4" t="str">
        <f t="shared" si="413"/>
        <v>1+395,503082511006i</v>
      </c>
      <c r="U528" s="4">
        <f t="shared" si="426"/>
        <v>395.5043467216355</v>
      </c>
      <c r="V528" s="4">
        <f t="shared" si="427"/>
        <v>1.5682679068830185</v>
      </c>
      <c r="W528" t="str">
        <f t="shared" si="414"/>
        <v>1-31,4768155750494i</v>
      </c>
      <c r="X528" s="4">
        <f t="shared" si="428"/>
        <v>31.492696276210975</v>
      </c>
      <c r="Y528" s="4">
        <f t="shared" si="429"/>
        <v>-1.5390375941077583</v>
      </c>
      <c r="Z528" t="str">
        <f t="shared" si="415"/>
        <v>-5,33957276984447+4,32465987418576i</v>
      </c>
      <c r="AA528" s="4">
        <f t="shared" si="430"/>
        <v>6.8712240824948312</v>
      </c>
      <c r="AB528" s="4">
        <f t="shared" si="431"/>
        <v>2.4608283898174768</v>
      </c>
      <c r="AC528" s="47" t="str">
        <f t="shared" si="432"/>
        <v>-2,04759901819816+2,38210798729117i</v>
      </c>
      <c r="AD528" s="20">
        <f t="shared" si="433"/>
        <v>9.9418953857496</v>
      </c>
      <c r="AE528" s="43">
        <f t="shared" si="434"/>
        <v>130.68151009573845</v>
      </c>
      <c r="AF528" t="str">
        <f t="shared" si="416"/>
        <v>171,265703090588</v>
      </c>
      <c r="AG528" t="str">
        <f t="shared" si="417"/>
        <v>1+31224,8310367847i</v>
      </c>
      <c r="AH528">
        <f t="shared" si="435"/>
        <v>31224.831052797599</v>
      </c>
      <c r="AI528">
        <f t="shared" si="436"/>
        <v>1.5707643010011147</v>
      </c>
      <c r="AJ528" t="str">
        <f t="shared" si="418"/>
        <v>1+395,503082511006i</v>
      </c>
      <c r="AK528">
        <f t="shared" si="437"/>
        <v>395.5043467216355</v>
      </c>
      <c r="AL528">
        <f t="shared" si="438"/>
        <v>1.5682679068830185</v>
      </c>
      <c r="AM528" t="str">
        <f t="shared" si="419"/>
        <v>1-9,9446134151089i</v>
      </c>
      <c r="AN528">
        <f t="shared" si="439"/>
        <v>9.9947654287613918</v>
      </c>
      <c r="AO528">
        <f t="shared" si="440"/>
        <v>-1.4705762685204677</v>
      </c>
      <c r="AP528" s="41" t="str">
        <f t="shared" si="441"/>
        <v>2,1154484554089-21,5782949303298i</v>
      </c>
      <c r="AQ528">
        <f t="shared" si="442"/>
        <v>26.72188342789887</v>
      </c>
      <c r="AR528" s="43">
        <f t="shared" si="443"/>
        <v>-84.400846485288241</v>
      </c>
      <c r="AS528" t="str">
        <f t="shared" si="420"/>
        <v>-0,0000166666666666667</v>
      </c>
      <c r="AT528" t="str">
        <f t="shared" si="421"/>
        <v>0,0262139443088295i</v>
      </c>
      <c r="AU528">
        <f t="shared" si="444"/>
        <v>2.62139443088295E-2</v>
      </c>
      <c r="AV528">
        <f t="shared" si="445"/>
        <v>1.5707963267948966</v>
      </c>
      <c r="AW528" t="str">
        <f t="shared" si="422"/>
        <v>1+8,82184304743921i</v>
      </c>
      <c r="AX528">
        <f t="shared" si="446"/>
        <v>8.8783396394625225</v>
      </c>
      <c r="AY528">
        <f t="shared" si="447"/>
        <v>1.4579231326966877</v>
      </c>
      <c r="AZ528" t="str">
        <f t="shared" si="423"/>
        <v>1+2088,25627565811i</v>
      </c>
      <c r="BA528">
        <f t="shared" si="448"/>
        <v>2088.2565150923101</v>
      </c>
      <c r="BB528">
        <f t="shared" si="449"/>
        <v>1.5703174584034936</v>
      </c>
      <c r="BC528" s="41" t="str">
        <f t="shared" si="450"/>
        <v>-0,0167725115050659+0,148600257938822i</v>
      </c>
      <c r="BD528">
        <f t="shared" si="451"/>
        <v>-16.504630653501668</v>
      </c>
      <c r="BE528" s="43">
        <f t="shared" si="452"/>
        <v>96.439720504218698</v>
      </c>
      <c r="BF528" s="41" t="str">
        <f t="shared" si="453"/>
        <v>-0,319638483259106-0,344227675882676i</v>
      </c>
      <c r="BG528" s="20">
        <f t="shared" si="454"/>
        <v>-6.5627352677520578</v>
      </c>
      <c r="BH528" s="43">
        <f t="shared" si="455"/>
        <v>-132.87876940004287</v>
      </c>
      <c r="BI528" s="41" t="str">
        <f t="shared" si="460"/>
        <v>3,17105880897026+0,676278386108707i</v>
      </c>
      <c r="BJ528" s="20">
        <f t="shared" si="456"/>
        <v>10.217252774397195</v>
      </c>
      <c r="BK528" s="43">
        <f t="shared" si="461"/>
        <v>12.038874018930464</v>
      </c>
      <c r="BL528">
        <f t="shared" si="457"/>
        <v>-6.5627352677520578</v>
      </c>
      <c r="BM528" s="43">
        <f t="shared" si="458"/>
        <v>-132.87876940004287</v>
      </c>
    </row>
    <row r="529" spans="14:65" x14ac:dyDescent="0.25">
      <c r="N529" s="9">
        <v>11</v>
      </c>
      <c r="O529" s="34">
        <f t="shared" si="462"/>
        <v>1288249.5516931366</v>
      </c>
      <c r="P529" s="33" t="str">
        <f t="shared" si="411"/>
        <v>54,631621870174</v>
      </c>
      <c r="Q529" s="4" t="str">
        <f t="shared" si="412"/>
        <v>1+32260,8880462092i</v>
      </c>
      <c r="R529" s="4">
        <f t="shared" si="424"/>
        <v>32260.888061707843</v>
      </c>
      <c r="S529" s="4">
        <f t="shared" si="425"/>
        <v>1.5707653295080815</v>
      </c>
      <c r="T529" s="4" t="str">
        <f t="shared" si="413"/>
        <v>1+404,71553275895i</v>
      </c>
      <c r="U529" s="4">
        <f t="shared" si="426"/>
        <v>404.71676819272102</v>
      </c>
      <c r="V529" s="4">
        <f t="shared" si="427"/>
        <v>1.5683254605098245</v>
      </c>
      <c r="W529" t="str">
        <f t="shared" si="414"/>
        <v>1-32,2100047972618i</v>
      </c>
      <c r="X529" s="4">
        <f t="shared" si="428"/>
        <v>32.225524185645583</v>
      </c>
      <c r="Y529" s="4">
        <f t="shared" si="429"/>
        <v>-1.5397600415784019</v>
      </c>
      <c r="Z529" t="str">
        <f t="shared" si="415"/>
        <v>-5,63834762975027+4,42539414325207i</v>
      </c>
      <c r="AA529" s="4">
        <f t="shared" si="430"/>
        <v>7.1676409868966102</v>
      </c>
      <c r="AB529" s="4">
        <f t="shared" si="431"/>
        <v>2.476142989074587</v>
      </c>
      <c r="AC529" s="47" t="str">
        <f t="shared" si="432"/>
        <v>-1,97100085605304+2,36853273077938i</v>
      </c>
      <c r="AD529" s="20">
        <f t="shared" si="433"/>
        <v>9.7748544016495948</v>
      </c>
      <c r="AE529" s="43">
        <f t="shared" si="434"/>
        <v>129.76591121362247</v>
      </c>
      <c r="AF529" t="str">
        <f t="shared" si="416"/>
        <v>171,265703090588</v>
      </c>
      <c r="AG529" t="str">
        <f t="shared" si="417"/>
        <v>1+31952,1507850924i</v>
      </c>
      <c r="AH529">
        <f t="shared" si="435"/>
        <v>31952.150800740794</v>
      </c>
      <c r="AI529">
        <f t="shared" si="436"/>
        <v>1.5707650299971818</v>
      </c>
      <c r="AJ529" t="str">
        <f t="shared" si="418"/>
        <v>1+404,71553275895i</v>
      </c>
      <c r="AK529">
        <f t="shared" si="437"/>
        <v>404.71676819272102</v>
      </c>
      <c r="AL529">
        <f t="shared" si="438"/>
        <v>1.5683254605098245</v>
      </c>
      <c r="AM529" t="str">
        <f t="shared" si="419"/>
        <v>1-10,1762532186221i</v>
      </c>
      <c r="AN529">
        <f t="shared" si="439"/>
        <v>10.225269168560635</v>
      </c>
      <c r="AO529">
        <f t="shared" si="440"/>
        <v>-1.4728428232207789</v>
      </c>
      <c r="AP529" s="41" t="str">
        <f t="shared" si="441"/>
        <v>2,1154484476006-22,0806684955772i</v>
      </c>
      <c r="AQ529">
        <f t="shared" si="442"/>
        <v>26.919925042481911</v>
      </c>
      <c r="AR529" s="43">
        <f t="shared" si="443"/>
        <v>-84.527454692137894</v>
      </c>
      <c r="AS529" t="str">
        <f t="shared" si="420"/>
        <v>-0,0000166666666666667</v>
      </c>
      <c r="AT529" t="str">
        <f t="shared" si="421"/>
        <v>0,0268245455112632i</v>
      </c>
      <c r="AU529">
        <f t="shared" si="444"/>
        <v>2.68245455112632E-2</v>
      </c>
      <c r="AV529">
        <f t="shared" si="445"/>
        <v>1.5707963267948966</v>
      </c>
      <c r="AW529" t="str">
        <f t="shared" si="422"/>
        <v>1+9,02733016944526i</v>
      </c>
      <c r="AX529">
        <f t="shared" si="446"/>
        <v>9.082548650471221</v>
      </c>
      <c r="AY529">
        <f t="shared" si="447"/>
        <v>1.4604714035795825</v>
      </c>
      <c r="AZ529" t="str">
        <f t="shared" si="423"/>
        <v>1+2136,89801296725i</v>
      </c>
      <c r="BA529">
        <f t="shared" si="448"/>
        <v>2136.898246951263</v>
      </c>
      <c r="BB529">
        <f t="shared" si="449"/>
        <v>1.5703283587772683</v>
      </c>
      <c r="BC529" s="41" t="str">
        <f t="shared" si="450"/>
        <v>-0,0160267750970534+0,145300311845565i</v>
      </c>
      <c r="BD529">
        <f t="shared" si="451"/>
        <v>-16.702150257459103</v>
      </c>
      <c r="BE529" s="43">
        <f t="shared" si="452"/>
        <v>96.294339882985184</v>
      </c>
      <c r="BF529" s="41" t="str">
        <f t="shared" si="453"/>
        <v>-0,31255975696261-0,324346980418593i</v>
      </c>
      <c r="BG529" s="20">
        <f t="shared" si="454"/>
        <v>-6.9272958558095059</v>
      </c>
      <c r="BH529" s="43">
        <f t="shared" si="455"/>
        <v>-133.93974890339237</v>
      </c>
      <c r="BI529" s="41" t="str">
        <f t="shared" si="460"/>
        <v>3,1744242016668+0,661257227100792i</v>
      </c>
      <c r="BJ529" s="20">
        <f t="shared" si="456"/>
        <v>10.217774785022799</v>
      </c>
      <c r="BK529" s="43">
        <f t="shared" si="461"/>
        <v>11.766885190847304</v>
      </c>
      <c r="BL529">
        <f t="shared" si="457"/>
        <v>-6.9272958558095059</v>
      </c>
      <c r="BM529" s="43">
        <f t="shared" si="458"/>
        <v>-133.93974890339237</v>
      </c>
    </row>
    <row r="530" spans="14:65" x14ac:dyDescent="0.25">
      <c r="N530" s="9">
        <v>12</v>
      </c>
      <c r="O530" s="34">
        <f t="shared" si="462"/>
        <v>1318256.7385564097</v>
      </c>
      <c r="P530" s="33" t="str">
        <f t="shared" si="411"/>
        <v>54,631621870174</v>
      </c>
      <c r="Q530" s="4" t="str">
        <f t="shared" si="412"/>
        <v>1+33012,3406624399i</v>
      </c>
      <c r="R530" s="4">
        <f t="shared" si="424"/>
        <v>33012.340677585751</v>
      </c>
      <c r="S530" s="4">
        <f t="shared" si="425"/>
        <v>1.5707660350924717</v>
      </c>
      <c r="T530" s="4" t="str">
        <f t="shared" si="413"/>
        <v>1+414,142568539406i</v>
      </c>
      <c r="U530" s="4">
        <f t="shared" si="426"/>
        <v>414.14377585135401</v>
      </c>
      <c r="V530" s="4">
        <f t="shared" si="427"/>
        <v>1.5683817040719574</v>
      </c>
      <c r="W530" t="str">
        <f t="shared" si="414"/>
        <v>1-32,9602721903675i</v>
      </c>
      <c r="X530" s="4">
        <f t="shared" si="428"/>
        <v>32.97543847870886</v>
      </c>
      <c r="Y530" s="4">
        <f t="shared" si="429"/>
        <v>-1.5404660754536295</v>
      </c>
      <c r="Z530" t="str">
        <f t="shared" si="415"/>
        <v>-5,95120331499755+4,52847481487014i</v>
      </c>
      <c r="AA530" s="4">
        <f t="shared" si="430"/>
        <v>7.4782287371643674</v>
      </c>
      <c r="AB530" s="4">
        <f t="shared" si="431"/>
        <v>2.4911302328090756</v>
      </c>
      <c r="AC530" s="47" t="str">
        <f t="shared" si="432"/>
        <v>-1,89654112373439+2,35293451558426i</v>
      </c>
      <c r="AD530" s="20">
        <f t="shared" si="433"/>
        <v>9.6062149716387246</v>
      </c>
      <c r="AE530" s="43">
        <f t="shared" si="434"/>
        <v>128.86993473158586</v>
      </c>
      <c r="AF530" t="str">
        <f t="shared" si="416"/>
        <v>171,265703090588</v>
      </c>
      <c r="AG530" t="str">
        <f t="shared" si="417"/>
        <v>1+32696,4119866831i</v>
      </c>
      <c r="AH530">
        <f t="shared" si="435"/>
        <v>32696.412001975295</v>
      </c>
      <c r="AI530">
        <f t="shared" si="436"/>
        <v>1.5707657423992725</v>
      </c>
      <c r="AJ530" t="str">
        <f t="shared" si="418"/>
        <v>1+414,142568539406i</v>
      </c>
      <c r="AK530">
        <f t="shared" si="437"/>
        <v>414.14377585135401</v>
      </c>
      <c r="AL530">
        <f t="shared" si="438"/>
        <v>1.5683817040719574</v>
      </c>
      <c r="AM530" t="str">
        <f t="shared" si="419"/>
        <v>1-10,4132886062905i</v>
      </c>
      <c r="AN530">
        <f t="shared" si="439"/>
        <v>10.461193985291525</v>
      </c>
      <c r="AO530">
        <f t="shared" si="440"/>
        <v>-1.4750587608823962</v>
      </c>
      <c r="AP530" s="41" t="str">
        <f t="shared" si="441"/>
        <v>2,11544844014372-22,5947495235332i</v>
      </c>
      <c r="AQ530">
        <f t="shared" si="442"/>
        <v>27.118053975239867</v>
      </c>
      <c r="AR530" s="43">
        <f t="shared" si="443"/>
        <v>-84.651236866710803</v>
      </c>
      <c r="AS530" t="str">
        <f t="shared" si="420"/>
        <v>-0,0000166666666666667</v>
      </c>
      <c r="AT530" t="str">
        <f t="shared" si="421"/>
        <v>0,0274493694427918i</v>
      </c>
      <c r="AU530">
        <f t="shared" si="444"/>
        <v>2.7449369442791801E-2</v>
      </c>
      <c r="AV530">
        <f t="shared" si="445"/>
        <v>1.5707963267948966</v>
      </c>
      <c r="AW530" t="str">
        <f t="shared" si="422"/>
        <v>1+9,23760370139797i</v>
      </c>
      <c r="AX530">
        <f t="shared" si="446"/>
        <v>9.2915726410592896</v>
      </c>
      <c r="AY530">
        <f t="shared" si="447"/>
        <v>1.4629630596742875</v>
      </c>
      <c r="AZ530" t="str">
        <f t="shared" si="423"/>
        <v>1+2186,67276188806i</v>
      </c>
      <c r="BA530">
        <f t="shared" si="448"/>
        <v>2186.672990545947</v>
      </c>
      <c r="BB530">
        <f t="shared" si="449"/>
        <v>1.5703390110283508</v>
      </c>
      <c r="BC530" s="41" t="str">
        <f t="shared" si="450"/>
        <v>-0,0153138064973919+0,142070054071959i</v>
      </c>
      <c r="BD530">
        <f t="shared" si="451"/>
        <v>-16.899780174416534</v>
      </c>
      <c r="BE530" s="43">
        <f t="shared" si="452"/>
        <v>96.152188833789893</v>
      </c>
      <c r="BF530" s="41" t="str">
        <f t="shared" si="453"/>
        <v>-0,30523827007362-0,305474083871331i</v>
      </c>
      <c r="BG530" s="20">
        <f t="shared" si="454"/>
        <v>-7.2935652027778008</v>
      </c>
      <c r="BH530" s="43">
        <f t="shared" si="455"/>
        <v>-134.97787643462419</v>
      </c>
      <c r="BI530" s="41" t="str">
        <f t="shared" si="460"/>
        <v>3,17764171848316+0,646553496338085i</v>
      </c>
      <c r="BJ530" s="20">
        <f t="shared" si="456"/>
        <v>10.218273800823333</v>
      </c>
      <c r="BK530" s="43">
        <f t="shared" si="461"/>
        <v>11.500951967079109</v>
      </c>
      <c r="BL530">
        <f t="shared" si="457"/>
        <v>-7.2935652027778008</v>
      </c>
      <c r="BM530" s="43">
        <f t="shared" si="458"/>
        <v>-134.97787643462419</v>
      </c>
    </row>
    <row r="531" spans="14:65" x14ac:dyDescent="0.25">
      <c r="N531" s="9">
        <v>13</v>
      </c>
      <c r="O531" s="34">
        <f t="shared" si="462"/>
        <v>1348962.8825916562</v>
      </c>
      <c r="P531" s="33" t="str">
        <f t="shared" ref="P531:P560" si="463">COMPLEX(Adc,0)</f>
        <v>54,631621870174</v>
      </c>
      <c r="Q531" s="4" t="str">
        <f t="shared" ref="Q531:Q560" si="464">IMSUM(COMPLEX(1,0),IMDIV(COMPLEX(0,2*PI()*O531),COMPLEX(wp_lf,0)))</f>
        <v>1+33781,2968586597i</v>
      </c>
      <c r="R531" s="4">
        <f t="shared" si="424"/>
        <v>33781.296873460786</v>
      </c>
      <c r="S531" s="4">
        <f t="shared" si="425"/>
        <v>1.5707667246158006</v>
      </c>
      <c r="T531" s="4" t="str">
        <f t="shared" ref="T531:T560" si="465">IMSUM(COMPLEX(1,0),IMDIV(COMPLEX(0,2*PI()*O531),COMPLEX(wz_esr,0)))</f>
        <v>1+423,789188191526i</v>
      </c>
      <c r="U531" s="4">
        <f t="shared" si="426"/>
        <v>423.79036802177637</v>
      </c>
      <c r="V531" s="4">
        <f t="shared" si="427"/>
        <v>1.5684366673890746</v>
      </c>
      <c r="W531" t="str">
        <f t="shared" ref="W531:W560" si="466">IMSUB(COMPLEX(1,0),IMDIV(COMPLEX(0,2*PI()*O531),COMPLEX(wz_rhp,0)))</f>
        <v>1-33,7280155560693i</v>
      </c>
      <c r="X531" s="4">
        <f t="shared" si="428"/>
        <v>33.742836770942255</v>
      </c>
      <c r="Y531" s="4">
        <f t="shared" si="429"/>
        <v>-1.5411560672647653</v>
      </c>
      <c r="Z531" t="str">
        <f t="shared" ref="Z531:Z560" si="467">IMSUM(COMPLEX(1,0),IMDIV(COMPLEX(0,2*PI()*O531),COMPLEX(Q*(wsl/2),0)),IMDIV(IMPOWER(COMPLEX(0,2*PI()*O531),2),IMPOWER(COMPLEX(wsl/2,0),2)))</f>
        <v>-6,27880343443997+4,63395654377649i</v>
      </c>
      <c r="AA531" s="4">
        <f t="shared" si="430"/>
        <v>7.8036482377119052</v>
      </c>
      <c r="AB531" s="4">
        <f t="shared" si="431"/>
        <v>2.5057953031477465</v>
      </c>
      <c r="AC531" s="47" t="str">
        <f t="shared" si="432"/>
        <v>-1,82422912226727+2,33547268955874i</v>
      </c>
      <c r="AD531" s="20">
        <f t="shared" si="433"/>
        <v>9.4360552747887336</v>
      </c>
      <c r="AE531" s="43">
        <f t="shared" si="434"/>
        <v>127.99326413556304</v>
      </c>
      <c r="AF531" t="str">
        <f t="shared" ref="AF531:AF560" si="468">COMPLEX($B$72,0)</f>
        <v>171,265703090588</v>
      </c>
      <c r="AG531" t="str">
        <f t="shared" ref="AG531:AG560" si="469">IMSUM(COMPLEX(1,0),IMDIV(COMPLEX(0,2*PI()*O531),COMPLEX(wp_lf_DCM,0)))</f>
        <v>1+33458,0092586972i</v>
      </c>
      <c r="AH531">
        <f t="shared" si="435"/>
        <v>33458.009273641306</v>
      </c>
      <c r="AI531">
        <f t="shared" si="436"/>
        <v>1.5707664385851119</v>
      </c>
      <c r="AJ531" t="str">
        <f t="shared" ref="AJ531:AJ560" si="470">IMSUM(COMPLEX(1,0),IMDIV(COMPLEX(0,2*PI()*O531),COMPLEX(wz1_dcm,0)))</f>
        <v>1+423,789188191526i</v>
      </c>
      <c r="AK531">
        <f t="shared" si="437"/>
        <v>423.79036802177637</v>
      </c>
      <c r="AL531">
        <f t="shared" si="438"/>
        <v>1.5684366673890746</v>
      </c>
      <c r="AM531" t="str">
        <f t="shared" ref="AM531:AM560" si="471">IMSUB(COMPLEX(1,0),IMDIV(COMPLEX(0,2*PI()*O531),COMPLEX(wz2_dcm,0)))</f>
        <v>1-10,6558452574141i</v>
      </c>
      <c r="AN531">
        <f t="shared" si="439"/>
        <v>10.702665002229798</v>
      </c>
      <c r="AO531">
        <f t="shared" si="440"/>
        <v>-1.4772251693281651</v>
      </c>
      <c r="AP531" s="41" t="str">
        <f t="shared" si="441"/>
        <v>2,11544843302248-23,1208105867634i</v>
      </c>
      <c r="AQ531">
        <f t="shared" si="442"/>
        <v>27.316266368035492</v>
      </c>
      <c r="AR531" s="43">
        <f t="shared" si="443"/>
        <v>-84.772253649766327</v>
      </c>
      <c r="AS531" t="str">
        <f t="shared" ref="AS531:AS560" si="472">COMPLEX(Adc_ea,0)</f>
        <v>-0,0000166666666666667</v>
      </c>
      <c r="AT531" t="str">
        <f t="shared" ref="AT531:AT560" si="473">COMPLEX(0,2*PI()*O531*wp0_ea)</f>
        <v>0,0280887473933343i</v>
      </c>
      <c r="AU531">
        <f t="shared" si="444"/>
        <v>2.80887473933343E-2</v>
      </c>
      <c r="AV531">
        <f t="shared" si="445"/>
        <v>1.5707963267948966</v>
      </c>
      <c r="AW531" t="str">
        <f t="shared" ref="AW531:AW560" si="474">IMSUM(COMPLEX(1,0),IMDIV(COMPLEX(0,2*PI()*O531),COMPLEX(wp1_ea,0)))</f>
        <v>1+9,45277513310729i</v>
      </c>
      <c r="AX531">
        <f t="shared" si="446"/>
        <v>9.5055224852236062</v>
      </c>
      <c r="AY531">
        <f t="shared" si="447"/>
        <v>1.4653992982700075</v>
      </c>
      <c r="AZ531" t="str">
        <f t="shared" ref="AZ531:AZ560" si="475">IMSUM(COMPLEX(1,0),IMDIV(COMPLEX(0,2*PI()*O531),COMPLEX(wz_ea,0)))</f>
        <v>1+2237,60691365125i</v>
      </c>
      <c r="BA531">
        <f t="shared" si="448"/>
        <v>2237.6071371042494</v>
      </c>
      <c r="BB531">
        <f t="shared" si="449"/>
        <v>1.570349420804696</v>
      </c>
      <c r="BC531" s="41" t="str">
        <f t="shared" si="450"/>
        <v>-0,0146321997485852+0,138908251345456i</v>
      </c>
      <c r="BD531">
        <f t="shared" si="451"/>
        <v>-17.097515554580671</v>
      </c>
      <c r="BE531" s="43">
        <f t="shared" si="452"/>
        <v>96.013199080618477</v>
      </c>
      <c r="BF531" s="41" t="str">
        <f t="shared" si="453"/>
        <v>-0,297723942467473-0,287573580328592i</v>
      </c>
      <c r="BG531" s="20">
        <f t="shared" si="454"/>
        <v>-7.6614602797919265</v>
      </c>
      <c r="BH531" s="43">
        <f t="shared" si="455"/>
        <v>-135.99353678381848</v>
      </c>
      <c r="BI531" s="41" t="str">
        <f t="shared" si="460"/>
        <v>3,18071770426699+0,632161561497363i</v>
      </c>
      <c r="BJ531" s="20">
        <f t="shared" si="456"/>
        <v>10.218750813454811</v>
      </c>
      <c r="BK531" s="43">
        <f t="shared" si="461"/>
        <v>11.240945430852166</v>
      </c>
      <c r="BL531">
        <f t="shared" si="457"/>
        <v>-7.6614602797919265</v>
      </c>
      <c r="BM531" s="43">
        <f t="shared" si="458"/>
        <v>-135.99353678381848</v>
      </c>
    </row>
    <row r="532" spans="14:65" x14ac:dyDescent="0.25">
      <c r="N532" s="9">
        <v>14</v>
      </c>
      <c r="O532" s="34">
        <f t="shared" si="462"/>
        <v>1380384.2646028849</v>
      </c>
      <c r="P532" s="33" t="str">
        <f t="shared" si="463"/>
        <v>54,631621870174</v>
      </c>
      <c r="Q532" s="4" t="str">
        <f t="shared" si="464"/>
        <v>1+34568,1643456223i</v>
      </c>
      <c r="R532" s="4">
        <f t="shared" ref="R532:R560" si="476">IMABS(Q532)</f>
        <v>34568.164360086477</v>
      </c>
      <c r="S532" s="4">
        <f t="shared" ref="S532:S560" si="477">IMARGUMENT(Q532)</f>
        <v>1.5707673984436621</v>
      </c>
      <c r="T532" s="4" t="str">
        <f t="shared" si="465"/>
        <v>1+433,660506480737i</v>
      </c>
      <c r="U532" s="4">
        <f t="shared" ref="U532:U560" si="478">IMABS(T532)</f>
        <v>433.66165945484431</v>
      </c>
      <c r="V532" s="4">
        <f t="shared" ref="V532:V560" si="479">IMARGUMENT(T532)</f>
        <v>1.5684903796021248</v>
      </c>
      <c r="W532" t="str">
        <f t="shared" si="466"/>
        <v>1-34,5136419620619i</v>
      </c>
      <c r="X532" s="4">
        <f t="shared" ref="X532:X560" si="480">IMABS(W532)</f>
        <v>34.528125948064428</v>
      </c>
      <c r="Y532" s="4">
        <f t="shared" ref="Y532:Y560" si="481">IMARGUMENT(W532)</f>
        <v>-1.5418303802251188</v>
      </c>
      <c r="Z532" t="str">
        <f t="shared" si="467"/>
        <v>-6,621842871853+4,74189525778002i</v>
      </c>
      <c r="AA532" s="4">
        <f t="shared" ref="AA532:AA560" si="482">IMABS(Z532)</f>
        <v>8.1445916813101835</v>
      </c>
      <c r="AB532" s="4">
        <f t="shared" ref="AB532:AB560" si="483">IMARGUMENT(Z532)</f>
        <v>2.5201434879900346</v>
      </c>
      <c r="AC532" s="47" t="str">
        <f t="shared" ref="AC532:AC560" si="484">(IMDIV(IMPRODUCT(P532,T532,W532),IMPRODUCT(Q532,Z532)))</f>
        <v>-1,75406594474223+2,3162999924039i</v>
      </c>
      <c r="AD532" s="20">
        <f t="shared" ref="AD532:AD560" si="485">20*LOG(IMABS(AC532))</f>
        <v>9.2644498736281005</v>
      </c>
      <c r="AE532" s="43">
        <f t="shared" ref="AE532:AE560" si="486">(180/PI())*IMARGUMENT(AC532)</f>
        <v>127.13557728935081</v>
      </c>
      <c r="AF532" t="str">
        <f t="shared" si="468"/>
        <v>171,265703090588</v>
      </c>
      <c r="AG532" t="str">
        <f t="shared" si="469"/>
        <v>1+34237,3464100894i</v>
      </c>
      <c r="AH532">
        <f t="shared" ref="AH532:AH560" si="487">IMABS(AG532)</f>
        <v>34237.346424693336</v>
      </c>
      <c r="AI532">
        <f t="shared" ref="AI532:AI560" si="488">IMARGUMENT(AG532)</f>
        <v>1.5707671189238268</v>
      </c>
      <c r="AJ532" t="str">
        <f t="shared" si="470"/>
        <v>1+433,660506480737i</v>
      </c>
      <c r="AK532">
        <f t="shared" ref="AK532:AK560" si="489">IMABS(AJ532)</f>
        <v>433.66165945484431</v>
      </c>
      <c r="AL532">
        <f t="shared" ref="AL532:AL560" si="490">IMARGUMENT(AJ532)</f>
        <v>1.5684903796021248</v>
      </c>
      <c r="AM532" t="str">
        <f t="shared" si="471"/>
        <v>1-10,9040517787399i</v>
      </c>
      <c r="AN532">
        <f t="shared" ref="AN532:AN560" si="491">IMABS(AM532)</f>
        <v>10.949810281161989</v>
      </c>
      <c r="AO532">
        <f t="shared" ref="AO532:AO560" si="492">IMARGUMENT(AM532)</f>
        <v>-1.4793431158304178</v>
      </c>
      <c r="AP532" s="41" t="str">
        <f t="shared" ref="AP532:AP560" si="493">(IMDIV(IMPRODUCT(AF532,AJ532,AM532),IMPRODUCT(AG532)))</f>
        <v>2,11544842622173-23,6591306098066i</v>
      </c>
      <c r="AQ532">
        <f t="shared" ref="AQ532:AQ560" si="494">20*LOG(IMABS(AP532))</f>
        <v>27.514558530139066</v>
      </c>
      <c r="AR532" s="43">
        <f t="shared" ref="AR532:AR560" si="495">(180/PI())*IMARGUMENT(AP532)</f>
        <v>-84.890564543000821</v>
      </c>
      <c r="AS532" t="str">
        <f t="shared" si="472"/>
        <v>-0,0000166666666666667</v>
      </c>
      <c r="AT532" t="str">
        <f t="shared" si="473"/>
        <v>0,0287430183695433i</v>
      </c>
      <c r="AU532">
        <f t="shared" ref="AU532:AU560" si="496">IMABS(AT532)</f>
        <v>2.8743018369543301E-2</v>
      </c>
      <c r="AV532">
        <f t="shared" ref="AV532:AV560" si="497">IMARGUMENT(AT532)</f>
        <v>1.5707963267948966</v>
      </c>
      <c r="AW532" t="str">
        <f t="shared" si="474"/>
        <v>1+9,67295855131444i</v>
      </c>
      <c r="AX532">
        <f t="shared" ref="AX532:AX560" si="498">IMABS(AW532)</f>
        <v>9.7245116656543296</v>
      </c>
      <c r="AY532">
        <f t="shared" ref="AY532:AY560" si="499">IMARGUMENT(AW532)</f>
        <v>1.4677812953520253</v>
      </c>
      <c r="AZ532" t="str">
        <f t="shared" si="475"/>
        <v>1+2289,72747421829i</v>
      </c>
      <c r="BA532">
        <f t="shared" ref="BA532:BA560" si="500">IMABS(AZ532)</f>
        <v>2289.7276925848782</v>
      </c>
      <c r="BB532">
        <f t="shared" ref="BB532:BB560" si="501">IMARGUMENT(AZ532)</f>
        <v>1.5703595936256958</v>
      </c>
      <c r="BC532" s="41" t="str">
        <f t="shared" ref="BC532:BC560" si="502">IMPRODUCT(AS532,IMDIV(AZ532,IMPRODUCT(AT532,AW532)))</f>
        <v>-0,0139806062661086+0,135813675889855i</v>
      </c>
      <c r="BD532">
        <f t="shared" ref="BD532:BD560" si="503">20*LOG(IMABS(BC532))</f>
        <v>-17.29535175647468</v>
      </c>
      <c r="BE532" s="43">
        <f t="shared" ref="BE532:BE560" si="504">(180/PI())*IMARGUMENT(BC532)</f>
        <v>95.877303560715404</v>
      </c>
      <c r="BF532" s="41" t="str">
        <f t="shared" ref="BF532:BF560" si="505">IMPRODUCT(AC532,BC532)</f>
        <v>-0,290062311093786-0,270609421896643i</v>
      </c>
      <c r="BG532" s="20">
        <f t="shared" ref="BG532:BG560" si="506">20*LOG(IMABS(BF532))</f>
        <v>-8.0309018828465728</v>
      </c>
      <c r="BH532" s="43">
        <f t="shared" ref="BH532:BH560" si="507">(180/PI())*IMARGUMENT(BF532)</f>
        <v>-136.98711914993376</v>
      </c>
      <c r="BI532" s="41" t="str">
        <f t="shared" si="460"/>
        <v>3,18365824495276+0,618075816574726i</v>
      </c>
      <c r="BJ532" s="20">
        <f t="shared" ref="BJ532:BJ560" si="508">20*LOG(IMABS(BI532))</f>
        <v>10.2192067736644</v>
      </c>
      <c r="BK532" s="43">
        <f t="shared" si="461"/>
        <v>10.98673901771458</v>
      </c>
      <c r="BL532">
        <f t="shared" ref="BL532:BL560" si="509">IF($B$31=0,BJ532,BG532)</f>
        <v>-8.0309018828465728</v>
      </c>
      <c r="BM532" s="43">
        <f t="shared" ref="BM532:BM560" si="510">IF($B$31=0,BK532,BH532)</f>
        <v>-136.98711914993376</v>
      </c>
    </row>
    <row r="533" spans="14:65" x14ac:dyDescent="0.25">
      <c r="N533" s="9">
        <v>15</v>
      </c>
      <c r="O533" s="34">
        <f t="shared" si="462"/>
        <v>1412537.5446227565</v>
      </c>
      <c r="P533" s="33" t="str">
        <f t="shared" si="463"/>
        <v>54,631621870174</v>
      </c>
      <c r="Q533" s="4" t="str">
        <f t="shared" si="464"/>
        <v>1+35373,3603308847i</v>
      </c>
      <c r="R533" s="4">
        <f t="shared" si="476"/>
        <v>35373.360345019631</v>
      </c>
      <c r="S533" s="4">
        <f t="shared" si="477"/>
        <v>1.5707680569333291</v>
      </c>
      <c r="T533" s="4" t="str">
        <f t="shared" si="465"/>
        <v>1+443,761757310661i</v>
      </c>
      <c r="U533" s="4">
        <f t="shared" si="478"/>
        <v>443.76288403994084</v>
      </c>
      <c r="V533" s="4">
        <f t="shared" si="479"/>
        <v>1.5685428691887944</v>
      </c>
      <c r="W533" t="str">
        <f t="shared" si="466"/>
        <v>1-35,317567957865i</v>
      </c>
      <c r="X533" s="4">
        <f t="shared" si="480"/>
        <v>35.331722381712623</v>
      </c>
      <c r="Y533" s="4">
        <f t="shared" si="481"/>
        <v>-1.5424893694100736</v>
      </c>
      <c r="Z533" t="str">
        <f t="shared" si="467"/>
        <v>-6,98104925987555+4,85234818741564i</v>
      </c>
      <c r="AA533" s="4">
        <f t="shared" si="482"/>
        <v>8.5017840304682402</v>
      </c>
      <c r="AB533" s="4">
        <f t="shared" si="483"/>
        <v>2.5341801586473549</v>
      </c>
      <c r="AC533" s="47" t="str">
        <f t="shared" si="484"/>
        <v>-1,68604530769548+2,29556243613159i</v>
      </c>
      <c r="AD533" s="20">
        <f t="shared" si="485"/>
        <v>9.0914698359564952</v>
      </c>
      <c r="AE533" s="43">
        <f t="shared" si="486"/>
        <v>126.29654770633437</v>
      </c>
      <c r="AF533" t="str">
        <f t="shared" si="468"/>
        <v>171,265703090588</v>
      </c>
      <c r="AG533" t="str">
        <f t="shared" si="469"/>
        <v>1+35034,8366557332i</v>
      </c>
      <c r="AH533">
        <f t="shared" si="487"/>
        <v>35034.836670004705</v>
      </c>
      <c r="AI533">
        <f t="shared" si="488"/>
        <v>1.570767783776142</v>
      </c>
      <c r="AJ533" t="str">
        <f t="shared" si="470"/>
        <v>1+443,761757310661i</v>
      </c>
      <c r="AK533">
        <f t="shared" si="489"/>
        <v>443.76288403994084</v>
      </c>
      <c r="AL533">
        <f t="shared" si="490"/>
        <v>1.5685428691887944</v>
      </c>
      <c r="AM533" t="str">
        <f t="shared" si="471"/>
        <v>1-11,1580397726511i</v>
      </c>
      <c r="AN533">
        <f t="shared" si="491"/>
        <v>11.202760890426243</v>
      </c>
      <c r="AO533">
        <f t="shared" si="492"/>
        <v>-1.481413647306731</v>
      </c>
      <c r="AP533" s="41" t="str">
        <f t="shared" si="493"/>
        <v>2,11544841972706-24,2099950170649i</v>
      </c>
      <c r="AQ533">
        <f t="shared" si="494"/>
        <v>27.712926931232261</v>
      </c>
      <c r="AR533" s="43">
        <f t="shared" si="495"/>
        <v>-85.006227919389673</v>
      </c>
      <c r="AS533" t="str">
        <f t="shared" si="472"/>
        <v>-0,0000166666666666667</v>
      </c>
      <c r="AT533" t="str">
        <f t="shared" si="473"/>
        <v>0,0294125292745507i</v>
      </c>
      <c r="AU533">
        <f t="shared" si="496"/>
        <v>2.9412529274550701E-2</v>
      </c>
      <c r="AV533">
        <f t="shared" si="497"/>
        <v>1.5707963267948966</v>
      </c>
      <c r="AW533" t="str">
        <f t="shared" si="474"/>
        <v>1+9,89827070018228i</v>
      </c>
      <c r="AX533">
        <f t="shared" si="498"/>
        <v>9.9486563341029637</v>
      </c>
      <c r="AY533">
        <f t="shared" si="499"/>
        <v>1.4701102057057795</v>
      </c>
      <c r="AZ533" t="str">
        <f t="shared" si="475"/>
        <v>1+2343,06207860029i</v>
      </c>
      <c r="BA533">
        <f t="shared" si="500"/>
        <v>2343.0622919962484</v>
      </c>
      <c r="BB533">
        <f t="shared" si="501"/>
        <v>1.5703695348851063</v>
      </c>
      <c r="BC533" s="41" t="str">
        <f t="shared" si="502"/>
        <v>-0,0133577327566601+0,132785106702473i</v>
      </c>
      <c r="BD533">
        <f t="shared" si="503"/>
        <v>-17.493284338417606</v>
      </c>
      <c r="BE533" s="43">
        <f t="shared" si="504"/>
        <v>95.744436418788268</v>
      </c>
      <c r="BF533" s="41" t="str">
        <f t="shared" si="505"/>
        <v>-0,282294760388105-0,254545215635622i</v>
      </c>
      <c r="BG533" s="20">
        <f t="shared" si="506"/>
        <v>-8.4018145024611073</v>
      </c>
      <c r="BH533" s="43">
        <f t="shared" si="507"/>
        <v>-137.95901587487731</v>
      </c>
      <c r="BI533" s="41" t="str">
        <f t="shared" si="460"/>
        <v>3,18646917695609+0,604290687615061i</v>
      </c>
      <c r="BJ533" s="20">
        <f t="shared" si="508"/>
        <v>10.219642592814655</v>
      </c>
      <c r="BK533" s="43">
        <f t="shared" si="461"/>
        <v>10.738208499398606</v>
      </c>
      <c r="BL533">
        <f t="shared" si="509"/>
        <v>-8.4018145024611073</v>
      </c>
      <c r="BM533" s="43">
        <f t="shared" si="510"/>
        <v>-137.95901587487731</v>
      </c>
    </row>
    <row r="534" spans="14:65" x14ac:dyDescent="0.25">
      <c r="N534" s="9">
        <v>16</v>
      </c>
      <c r="O534" s="34">
        <f t="shared" si="462"/>
        <v>1445439.7707459298</v>
      </c>
      <c r="P534" s="33" t="str">
        <f t="shared" si="463"/>
        <v>54,631621870174</v>
      </c>
      <c r="Q534" s="4" t="str">
        <f t="shared" si="464"/>
        <v>1+36197,3117400164i</v>
      </c>
      <c r="R534" s="4">
        <f t="shared" si="476"/>
        <v>36197.311753829577</v>
      </c>
      <c r="S534" s="4">
        <f t="shared" si="477"/>
        <v>1.5707687004339412</v>
      </c>
      <c r="T534" s="4" t="str">
        <f t="shared" si="465"/>
        <v>1+454,098296498193i</v>
      </c>
      <c r="U534" s="4">
        <f t="shared" si="478"/>
        <v>454.09939758004617</v>
      </c>
      <c r="V534" s="4">
        <f t="shared" si="479"/>
        <v>1.568594163978599</v>
      </c>
      <c r="W534" t="str">
        <f t="shared" si="466"/>
        <v>1-36,1402197956826i</v>
      </c>
      <c r="X534" s="4">
        <f t="shared" si="480"/>
        <v>36.154052150211989</v>
      </c>
      <c r="Y534" s="4">
        <f t="shared" si="481"/>
        <v>-1.5431333819336912</v>
      </c>
      <c r="Z534" t="str">
        <f t="shared" si="467"/>
        <v>-7,3571845234162+4,96537389628865i</v>
      </c>
      <c r="AA534" s="4">
        <f t="shared" si="482"/>
        <v>8.8759845674460021</v>
      </c>
      <c r="AB534" s="4">
        <f t="shared" si="483"/>
        <v>2.5479107494863698</v>
      </c>
      <c r="AC534" s="47" t="str">
        <f t="shared" si="484"/>
        <v>-1,62015433595721+2,27339924896456i</v>
      </c>
      <c r="AD534" s="20">
        <f t="shared" si="485"/>
        <v>8.9171828597313247</v>
      </c>
      <c r="AE534" s="43">
        <f t="shared" si="486"/>
        <v>125.47584570657835</v>
      </c>
      <c r="AF534" t="str">
        <f t="shared" si="468"/>
        <v>171,265703090588</v>
      </c>
      <c r="AG534" t="str">
        <f t="shared" si="469"/>
        <v>1+35850,9028355127i</v>
      </c>
      <c r="AH534">
        <f t="shared" si="487"/>
        <v>35850.902849459351</v>
      </c>
      <c r="AI534">
        <f t="shared" si="488"/>
        <v>1.5707684334945708</v>
      </c>
      <c r="AJ534" t="str">
        <f t="shared" si="470"/>
        <v>1+454,098296498193i</v>
      </c>
      <c r="AK534">
        <f t="shared" si="489"/>
        <v>454.09939758004617</v>
      </c>
      <c r="AL534">
        <f t="shared" si="490"/>
        <v>1.568594163978599</v>
      </c>
      <c r="AM534" t="str">
        <f t="shared" si="471"/>
        <v>1-11,4179439069438i</v>
      </c>
      <c r="AN534">
        <f t="shared" si="491"/>
        <v>11.461650974537438</v>
      </c>
      <c r="AO534">
        <f t="shared" si="492"/>
        <v>-1.4834377905284111</v>
      </c>
      <c r="AP534" s="41" t="str">
        <f t="shared" si="493"/>
        <v>2,11544841352471-24,7736958841384i</v>
      </c>
      <c r="AQ534">
        <f t="shared" si="494"/>
        <v>27.911368194680264</v>
      </c>
      <c r="AR534" s="43">
        <f t="shared" si="495"/>
        <v>-85.11930103427899</v>
      </c>
      <c r="AS534" t="str">
        <f t="shared" si="472"/>
        <v>-0,0000166666666666667</v>
      </c>
      <c r="AT534" t="str">
        <f t="shared" si="473"/>
        <v>0,0300976350919002i</v>
      </c>
      <c r="AU534">
        <f t="shared" si="496"/>
        <v>3.00976350919002E-2</v>
      </c>
      <c r="AV534">
        <f t="shared" si="497"/>
        <v>1.5707963267948966</v>
      </c>
      <c r="AW534" t="str">
        <f t="shared" si="474"/>
        <v>1+10,1288310431945i</v>
      </c>
      <c r="AX534">
        <f t="shared" si="498"/>
        <v>10.178075373152852</v>
      </c>
      <c r="AY534">
        <f t="shared" si="499"/>
        <v>1.4723871630422658</v>
      </c>
      <c r="AZ534" t="str">
        <f t="shared" si="475"/>
        <v>1+2397,63900551046i</v>
      </c>
      <c r="BA534">
        <f t="shared" si="500"/>
        <v>2397.6392140489334</v>
      </c>
      <c r="BB534">
        <f t="shared" si="501"/>
        <v>1.5703792498539071</v>
      </c>
      <c r="BC534" s="41" t="str">
        <f t="shared" si="502"/>
        <v>-0,0127623391884842+0,129821330719634i</v>
      </c>
      <c r="BD534">
        <f t="shared" si="503"/>
        <v>-17.691309050314288</v>
      </c>
      <c r="BE534" s="43">
        <f t="shared" si="504"/>
        <v>95.614532999986622</v>
      </c>
      <c r="BF534" s="41" t="str">
        <f t="shared" si="505"/>
        <v>-0,274458756584416-0,239344484191281i</v>
      </c>
      <c r="BG534" s="20">
        <f t="shared" si="506"/>
        <v>-8.7741261905829724</v>
      </c>
      <c r="BH534" s="43">
        <f t="shared" si="507"/>
        <v>-138.90962129343498</v>
      </c>
      <c r="BI534" s="41" t="str">
        <f t="shared" si="460"/>
        <v>3,18915609633322+0,590800637938246i</v>
      </c>
      <c r="BJ534" s="20">
        <f t="shared" si="508"/>
        <v>10.220059144365969</v>
      </c>
      <c r="BK534" s="43">
        <f t="shared" si="461"/>
        <v>10.495231965707644</v>
      </c>
      <c r="BL534">
        <f t="shared" si="509"/>
        <v>-8.7741261905829724</v>
      </c>
      <c r="BM534" s="43">
        <f t="shared" si="510"/>
        <v>-138.90962129343498</v>
      </c>
    </row>
    <row r="535" spans="14:65" x14ac:dyDescent="0.25">
      <c r="N535" s="9">
        <v>17</v>
      </c>
      <c r="O535" s="34">
        <f t="shared" si="462"/>
        <v>1479108.3881682095</v>
      </c>
      <c r="P535" s="33" t="str">
        <f t="shared" si="463"/>
        <v>54,631621870174</v>
      </c>
      <c r="Q535" s="4" t="str">
        <f t="shared" si="464"/>
        <v>1+37040,4554429606i</v>
      </c>
      <c r="R535" s="4">
        <f t="shared" si="476"/>
        <v>37040.455456459356</v>
      </c>
      <c r="S535" s="4">
        <f t="shared" si="477"/>
        <v>1.5707693292866911</v>
      </c>
      <c r="T535" s="4" t="str">
        <f t="shared" si="465"/>
        <v>1+464,675604613229i</v>
      </c>
      <c r="U535" s="4">
        <f t="shared" si="478"/>
        <v>464.67668063145783</v>
      </c>
      <c r="V535" s="4">
        <f t="shared" si="479"/>
        <v>1.5686442911676348</v>
      </c>
      <c r="W535" t="str">
        <f t="shared" si="466"/>
        <v>1-36,9820336564081i</v>
      </c>
      <c r="X535" s="4">
        <f t="shared" si="480"/>
        <v>36.995551264492626</v>
      </c>
      <c r="Y535" s="4">
        <f t="shared" si="481"/>
        <v>-1.5437627571218686</v>
      </c>
      <c r="Z535" t="str">
        <f t="shared" si="467"/>
        <v>-7,75104649579824+5,08103231212595i</v>
      </c>
      <c r="AA535" s="4">
        <f t="shared" si="482"/>
        <v>9.2679885162258469</v>
      </c>
      <c r="AB535" s="4">
        <f t="shared" si="483"/>
        <v>2.5613407394617211</v>
      </c>
      <c r="AC535" s="47" t="str">
        <f t="shared" si="484"/>
        <v>-1,55637429977088+2,2499428743176i</v>
      </c>
      <c r="AD535" s="20">
        <f t="shared" si="485"/>
        <v>8.74165339973408</v>
      </c>
      <c r="AE535" s="43">
        <f t="shared" si="486"/>
        <v>124.67313946583701</v>
      </c>
      <c r="AF535" t="str">
        <f t="shared" si="468"/>
        <v>171,265703090588</v>
      </c>
      <c r="AG535" t="str">
        <f t="shared" si="469"/>
        <v>1+36685,9776385183i</v>
      </c>
      <c r="AH535">
        <f t="shared" si="487"/>
        <v>36685.977652147478</v>
      </c>
      <c r="AI535">
        <f t="shared" si="488"/>
        <v>1.5707690684236026</v>
      </c>
      <c r="AJ535" t="str">
        <f t="shared" si="470"/>
        <v>1+464,675604613229i</v>
      </c>
      <c r="AK535">
        <f t="shared" si="489"/>
        <v>464.67668063145783</v>
      </c>
      <c r="AL535">
        <f t="shared" si="490"/>
        <v>1.5686442911676348</v>
      </c>
      <c r="AM535" t="str">
        <f t="shared" si="471"/>
        <v>1-11,6839019862303i</v>
      </c>
      <c r="AN535">
        <f t="shared" si="491"/>
        <v>11.726617825436128</v>
      </c>
      <c r="AO535">
        <f t="shared" si="492"/>
        <v>-1.4854165523403915</v>
      </c>
      <c r="AP535" s="41" t="str">
        <f t="shared" si="493"/>
        <v>2,11544840760151-25,3505320926882i</v>
      </c>
      <c r="AQ535">
        <f t="shared" si="494"/>
        <v>28.109879091065224</v>
      </c>
      <c r="AR535" s="43">
        <f t="shared" si="495"/>
        <v>-85.229840037150325</v>
      </c>
      <c r="AS535" t="str">
        <f t="shared" si="472"/>
        <v>-0,0000166666666666667</v>
      </c>
      <c r="AT535" t="str">
        <f t="shared" si="473"/>
        <v>0,0307986990737648i</v>
      </c>
      <c r="AU535">
        <f t="shared" si="496"/>
        <v>3.0798699073764799E-2</v>
      </c>
      <c r="AV535">
        <f t="shared" si="497"/>
        <v>1.5707963267948966</v>
      </c>
      <c r="AW535" t="str">
        <f t="shared" si="474"/>
        <v>1+10,3647618264966i</v>
      </c>
      <c r="AX535">
        <f t="shared" si="498"/>
        <v>10.412890459425814</v>
      </c>
      <c r="AY535">
        <f t="shared" si="499"/>
        <v>1.4746132801428808</v>
      </c>
      <c r="AZ535" t="str">
        <f t="shared" si="475"/>
        <v>1+2453,48719235785i</v>
      </c>
      <c r="BA535">
        <f t="shared" si="500"/>
        <v>2453.4873961494081</v>
      </c>
      <c r="BB535">
        <f t="shared" si="501"/>
        <v>1.5703887436830954</v>
      </c>
      <c r="BC535" s="41" t="str">
        <f t="shared" si="502"/>
        <v>-0,0121932368147835+0,12692114387738i</v>
      </c>
      <c r="BD535">
        <f t="shared" si="503"/>
        <v>-17.889421825748684</v>
      </c>
      <c r="BE535" s="43">
        <f t="shared" si="504"/>
        <v>95.487529841763362</v>
      </c>
      <c r="BF535" s="41" t="str">
        <f t="shared" si="505"/>
        <v>-0,266588082857601-0,224970892714566i</v>
      </c>
      <c r="BG535" s="20">
        <f t="shared" si="506"/>
        <v>-9.1477684260145935</v>
      </c>
      <c r="BH535" s="43">
        <f t="shared" si="507"/>
        <v>-139.83933069239959</v>
      </c>
      <c r="BI535" s="41" t="str">
        <f t="shared" si="460"/>
        <v>3,19172436770088+0,577600172893282i</v>
      </c>
      <c r="BJ535" s="20">
        <f t="shared" si="508"/>
        <v>10.220457265316549</v>
      </c>
      <c r="BK535" s="43">
        <f t="shared" si="461"/>
        <v>10.257689804613037</v>
      </c>
      <c r="BL535">
        <f t="shared" si="509"/>
        <v>-9.1477684260145935</v>
      </c>
      <c r="BM535" s="43">
        <f t="shared" si="510"/>
        <v>-139.83933069239959</v>
      </c>
    </row>
    <row r="536" spans="14:65" x14ac:dyDescent="0.25">
      <c r="N536" s="9">
        <v>18</v>
      </c>
      <c r="O536" s="34">
        <f t="shared" si="462"/>
        <v>1513561.2484362102</v>
      </c>
      <c r="P536" s="33" t="str">
        <f t="shared" si="463"/>
        <v>54,631621870174</v>
      </c>
      <c r="Q536" s="4" t="str">
        <f t="shared" si="464"/>
        <v>1+37903,2384856691i</v>
      </c>
      <c r="R536" s="4">
        <f t="shared" si="476"/>
        <v>37903.238498860585</v>
      </c>
      <c r="S536" s="4">
        <f t="shared" si="477"/>
        <v>1.5707699438250049</v>
      </c>
      <c r="T536" s="4" t="str">
        <f t="shared" si="465"/>
        <v>1+475,49928988454i</v>
      </c>
      <c r="U536" s="4">
        <f t="shared" si="478"/>
        <v>475.50034140965852</v>
      </c>
      <c r="V536" s="4">
        <f t="shared" si="479"/>
        <v>1.5686932773329931</v>
      </c>
      <c r="W536" t="str">
        <f t="shared" si="466"/>
        <v>1-37,8434558808935i</v>
      </c>
      <c r="X536" s="4">
        <f t="shared" si="480"/>
        <v>37.856665899272393</v>
      </c>
      <c r="Y536" s="4">
        <f t="shared" si="481"/>
        <v>-1.5443778266820893</v>
      </c>
      <c r="Z536" t="str">
        <f t="shared" si="467"/>
        <v>-8,16347061107114+5,19938475855057i</v>
      </c>
      <c r="AA536" s="4">
        <f t="shared" si="482"/>
        <v>9.6786287399233473</v>
      </c>
      <c r="AB536" s="4">
        <f t="shared" si="483"/>
        <v>2.5744756354219867</v>
      </c>
      <c r="AC536" s="47" t="str">
        <f t="shared" si="484"/>
        <v>-1,49468130378758+2,22531901713696i</v>
      </c>
      <c r="AD536" s="20">
        <f t="shared" si="485"/>
        <v>8.5649427948967656</v>
      </c>
      <c r="AE536" s="43">
        <f t="shared" si="486"/>
        <v>123.88809596314046</v>
      </c>
      <c r="AF536" t="str">
        <f t="shared" si="468"/>
        <v>171,265703090588</v>
      </c>
      <c r="AG536" t="str">
        <f t="shared" si="469"/>
        <v>1+37540,5038324642i</v>
      </c>
      <c r="AH536">
        <f t="shared" si="487"/>
        <v>37540.503845783147</v>
      </c>
      <c r="AI536">
        <f t="shared" si="488"/>
        <v>1.5707696888998852</v>
      </c>
      <c r="AJ536" t="str">
        <f t="shared" si="470"/>
        <v>1+475,49928988454i</v>
      </c>
      <c r="AK536">
        <f t="shared" si="489"/>
        <v>475.50034140965852</v>
      </c>
      <c r="AL536">
        <f t="shared" si="490"/>
        <v>1.5686932773329931</v>
      </c>
      <c r="AM536" t="str">
        <f t="shared" si="471"/>
        <v>1-11,9560550250047i</v>
      </c>
      <c r="AN536">
        <f t="shared" si="491"/>
        <v>11.997801955397501</v>
      </c>
      <c r="AO536">
        <f t="shared" si="492"/>
        <v>-1.4873509198912744</v>
      </c>
      <c r="AP536" s="41" t="str">
        <f t="shared" si="493"/>
        <v>2,1154484019449-25,9408094889077i</v>
      </c>
      <c r="AQ536">
        <f t="shared" si="494"/>
        <v>28.308456531971959</v>
      </c>
      <c r="AR536" s="43">
        <f t="shared" si="495"/>
        <v>-85.337899983985707</v>
      </c>
      <c r="AS536" t="str">
        <f t="shared" si="472"/>
        <v>-0,0000166666666666667</v>
      </c>
      <c r="AT536" t="str">
        <f t="shared" si="473"/>
        <v>0,0315160929335473i</v>
      </c>
      <c r="AU536">
        <f t="shared" si="496"/>
        <v>3.1516092933547298E-2</v>
      </c>
      <c r="AV536">
        <f t="shared" si="497"/>
        <v>1.5707963267948966</v>
      </c>
      <c r="AW536" t="str">
        <f t="shared" si="474"/>
        <v>1+10,6061881437131i</v>
      </c>
      <c r="AX536">
        <f t="shared" si="498"/>
        <v>10.653226128259941</v>
      </c>
      <c r="AY536">
        <f t="shared" si="499"/>
        <v>1.476789649021947</v>
      </c>
      <c r="AZ536" t="str">
        <f t="shared" si="475"/>
        <v>1+2510,63625059037i</v>
      </c>
      <c r="BA536">
        <f t="shared" si="500"/>
        <v>2510.6364497430668</v>
      </c>
      <c r="BB536">
        <f t="shared" si="501"/>
        <v>1.5703980214064188</v>
      </c>
      <c r="BC536" s="41" t="str">
        <f t="shared" si="502"/>
        <v>-0,01164928625093+0,124083352073997i</v>
      </c>
      <c r="BD536">
        <f t="shared" si="503"/>
        <v>-18.087618774372284</v>
      </c>
      <c r="BE536" s="43">
        <f t="shared" si="504"/>
        <v>95.363364664719171</v>
      </c>
      <c r="BF536" s="41" t="str">
        <f t="shared" si="505"/>
        <v>-0,258713072718632-0,211388444686562i</v>
      </c>
      <c r="BG536" s="20">
        <f t="shared" si="506"/>
        <v>-9.5226759794755118</v>
      </c>
      <c r="BH536" s="43">
        <f t="shared" si="507"/>
        <v>-140.74853937214036</v>
      </c>
      <c r="BI536" s="41" t="str">
        <f t="shared" si="460"/>
        <v>3,19417913291329+0,56468384417003i</v>
      </c>
      <c r="BJ536" s="20">
        <f t="shared" si="508"/>
        <v>10.220837757599678</v>
      </c>
      <c r="BK536" s="43">
        <f t="shared" si="461"/>
        <v>10.025464680733476</v>
      </c>
      <c r="BL536">
        <f t="shared" si="509"/>
        <v>-9.5226759794755118</v>
      </c>
      <c r="BM536" s="43">
        <f t="shared" si="510"/>
        <v>-140.74853937214036</v>
      </c>
    </row>
    <row r="537" spans="14:65" x14ac:dyDescent="0.25">
      <c r="N537" s="9">
        <v>19</v>
      </c>
      <c r="O537" s="34">
        <f t="shared" si="462"/>
        <v>1548816.6189124861</v>
      </c>
      <c r="P537" s="33" t="str">
        <f t="shared" si="463"/>
        <v>54,631621870174</v>
      </c>
      <c r="Q537" s="4" t="str">
        <f t="shared" si="464"/>
        <v>1+38786,1183271315i</v>
      </c>
      <c r="R537" s="4">
        <f t="shared" si="476"/>
        <v>38786.118340022709</v>
      </c>
      <c r="S537" s="4">
        <f t="shared" si="477"/>
        <v>1.5707705443747189</v>
      </c>
      <c r="T537" s="4" t="str">
        <f t="shared" si="465"/>
        <v>1+486,575091173325i</v>
      </c>
      <c r="U537" s="4">
        <f t="shared" si="478"/>
        <v>486.57611876286069</v>
      </c>
      <c r="V537" s="4">
        <f t="shared" si="479"/>
        <v>1.5687411484468459</v>
      </c>
      <c r="W537" t="str">
        <f t="shared" si="466"/>
        <v>1-38,7249432066042i</v>
      </c>
      <c r="X537" s="4">
        <f t="shared" si="480"/>
        <v>38.737852629627277</v>
      </c>
      <c r="Y537" s="4">
        <f t="shared" si="481"/>
        <v>-1.544978914869811</v>
      </c>
      <c r="Z537" t="str">
        <f t="shared" si="467"/>
        <v>-8,59533167607804+5,32049398759617i</v>
      </c>
      <c r="AA537" s="4">
        <f t="shared" si="482"/>
        <v>10.108777517278611</v>
      </c>
      <c r="AB537" s="4">
        <f t="shared" si="483"/>
        <v>2.5873209570727642</v>
      </c>
      <c r="AC537" s="47" t="str">
        <f t="shared" si="484"/>
        <v>-1,43504692820402+2,19964673052041i</v>
      </c>
      <c r="AD537" s="20">
        <f t="shared" si="485"/>
        <v>8.3871093953300324</v>
      </c>
      <c r="AE537" s="43">
        <f t="shared" si="486"/>
        <v>123.12038183361169</v>
      </c>
      <c r="AF537" t="str">
        <f t="shared" si="468"/>
        <v>171,265703090588</v>
      </c>
      <c r="AG537" t="str">
        <f t="shared" si="469"/>
        <v>1+38414,9344984495i</v>
      </c>
      <c r="AH537">
        <f t="shared" si="487"/>
        <v>38414.934511465268</v>
      </c>
      <c r="AI537">
        <f t="shared" si="488"/>
        <v>1.5707702952524034</v>
      </c>
      <c r="AJ537" t="str">
        <f t="shared" si="470"/>
        <v>1+486,575091173325i</v>
      </c>
      <c r="AK537">
        <f t="shared" si="489"/>
        <v>486.57611876286069</v>
      </c>
      <c r="AL537">
        <f t="shared" si="490"/>
        <v>1.5687411484468459</v>
      </c>
      <c r="AM537" t="str">
        <f t="shared" si="471"/>
        <v>1-12,2345473224104i</v>
      </c>
      <c r="AN537">
        <f t="shared" si="491"/>
        <v>12.275347171640378</v>
      </c>
      <c r="AO537">
        <f t="shared" si="492"/>
        <v>-1.4892418608723685</v>
      </c>
      <c r="AP537" s="41" t="str">
        <f t="shared" si="493"/>
        <v>2,11544839654287-26,5448410456853i</v>
      </c>
      <c r="AQ537">
        <f t="shared" si="494"/>
        <v>28.507097564017695</v>
      </c>
      <c r="AR537" s="43">
        <f t="shared" si="495"/>
        <v>-85.443534850166571</v>
      </c>
      <c r="AS537" t="str">
        <f t="shared" si="472"/>
        <v>-0,0000166666666666667</v>
      </c>
      <c r="AT537" t="str">
        <f t="shared" si="473"/>
        <v>0,032250197042968i</v>
      </c>
      <c r="AU537">
        <f t="shared" si="496"/>
        <v>3.2250197042967998E-2</v>
      </c>
      <c r="AV537">
        <f t="shared" si="497"/>
        <v>1.5707963267948966</v>
      </c>
      <c r="AW537" t="str">
        <f t="shared" si="474"/>
        <v>1+10,8532380022728i</v>
      </c>
      <c r="AX537">
        <f t="shared" si="498"/>
        <v>10.899209839891078</v>
      </c>
      <c r="AY537">
        <f t="shared" si="499"/>
        <v>1.4789173411052376</v>
      </c>
      <c r="AZ537" t="str">
        <f t="shared" si="475"/>
        <v>1+2569,11648139515i</v>
      </c>
      <c r="BA537">
        <f t="shared" si="500"/>
        <v>2569.1166760145784</v>
      </c>
      <c r="BB537">
        <f t="shared" si="501"/>
        <v>1.5704070879430425</v>
      </c>
      <c r="BC537" s="41" t="str">
        <f t="shared" si="502"/>
        <v>-0,0111293956059227+0,12130677204063i</v>
      </c>
      <c r="BD537">
        <f t="shared" si="503"/>
        <v>-18.285896174578316</v>
      </c>
      <c r="BE537" s="43">
        <f t="shared" si="504"/>
        <v>95.2419763625266</v>
      </c>
      <c r="BF537" s="41" t="str">
        <f t="shared" si="505"/>
        <v>-0,25086083953211-0,198561649244487i</v>
      </c>
      <c r="BG537" s="20">
        <f t="shared" si="506"/>
        <v>-9.8987867792482831</v>
      </c>
      <c r="BH537" s="43">
        <f t="shared" si="507"/>
        <v>-141.63764180386178</v>
      </c>
      <c r="BI537" s="41" t="str">
        <f t="shared" si="460"/>
        <v>3,19652531949466+0,552046253696909i</v>
      </c>
      <c r="BJ537" s="20">
        <f t="shared" si="508"/>
        <v>10.221201389439365</v>
      </c>
      <c r="BK537" s="43">
        <f t="shared" si="461"/>
        <v>9.7984415123600588</v>
      </c>
      <c r="BL537">
        <f t="shared" si="509"/>
        <v>-9.8987867792482831</v>
      </c>
      <c r="BM537" s="43">
        <f t="shared" si="510"/>
        <v>-141.63764180386178</v>
      </c>
    </row>
    <row r="538" spans="14:65" x14ac:dyDescent="0.25">
      <c r="N538" s="9">
        <v>20</v>
      </c>
      <c r="O538" s="34">
        <f t="shared" si="462"/>
        <v>1584893.1924611153</v>
      </c>
      <c r="P538" s="33" t="str">
        <f t="shared" si="463"/>
        <v>54,631621870174</v>
      </c>
      <c r="Q538" s="4" t="str">
        <f t="shared" si="464"/>
        <v>1+39689,5630819257i</v>
      </c>
      <c r="R538" s="4">
        <f t="shared" si="476"/>
        <v>39689.563094523466</v>
      </c>
      <c r="S538" s="4">
        <f t="shared" si="477"/>
        <v>1.5707711312542523</v>
      </c>
      <c r="T538" s="4" t="str">
        <f t="shared" si="465"/>
        <v>1+497,908881016031i</v>
      </c>
      <c r="U538" s="4">
        <f t="shared" si="478"/>
        <v>497.90988521482086</v>
      </c>
      <c r="V538" s="4">
        <f t="shared" si="479"/>
        <v>1.5687879298902132</v>
      </c>
      <c r="W538" t="str">
        <f t="shared" si="466"/>
        <v>1-39,6269630097882i</v>
      </c>
      <c r="X538" s="4">
        <f t="shared" si="480"/>
        <v>39.639578673077779</v>
      </c>
      <c r="Y538" s="4">
        <f t="shared" si="481"/>
        <v>-1.545566338651533</v>
      </c>
      <c r="Z538" t="str">
        <f t="shared" si="467"/>
        <v>-9,0475457260384+5,44442421297903i</v>
      </c>
      <c r="AA538" s="4">
        <f t="shared" si="482"/>
        <v>10.559348402038266</v>
      </c>
      <c r="AB538" s="4">
        <f t="shared" si="483"/>
        <v>2.5998822234823007</v>
      </c>
      <c r="AC538" s="47" t="str">
        <f t="shared" si="484"/>
        <v>-1,37743882285309+2,17303853618062i</v>
      </c>
      <c r="AD538" s="20">
        <f t="shared" si="485"/>
        <v>8.2082086882394769</v>
      </c>
      <c r="AE538" s="43">
        <f t="shared" si="486"/>
        <v>122.36966413307178</v>
      </c>
      <c r="AF538" t="str">
        <f t="shared" si="468"/>
        <v>171,265703090588</v>
      </c>
      <c r="AG538" t="str">
        <f t="shared" si="469"/>
        <v>1+39309,7332711875i</v>
      </c>
      <c r="AH538">
        <f t="shared" si="487"/>
        <v>39309.733283906993</v>
      </c>
      <c r="AI538">
        <f t="shared" si="488"/>
        <v>1.5707708878026529</v>
      </c>
      <c r="AJ538" t="str">
        <f t="shared" si="470"/>
        <v>1+497,908881016031i</v>
      </c>
      <c r="AK538">
        <f t="shared" si="489"/>
        <v>497.90988521482086</v>
      </c>
      <c r="AL538">
        <f t="shared" si="490"/>
        <v>1.5687879298902132</v>
      </c>
      <c r="AM538" t="str">
        <f t="shared" si="471"/>
        <v>1-12,5195265387498i</v>
      </c>
      <c r="AN538">
        <f t="shared" si="491"/>
        <v>12.559400652676883</v>
      </c>
      <c r="AO538">
        <f t="shared" si="492"/>
        <v>-1.4910903237646416</v>
      </c>
      <c r="AP538" s="41" t="str">
        <f t="shared" si="493"/>
        <v>2,11544839138398-27,1629470285475i</v>
      </c>
      <c r="AQ538">
        <f t="shared" si="494"/>
        <v>28.705799363118704</v>
      </c>
      <c r="AR538" s="43">
        <f t="shared" si="495"/>
        <v>-85.546797543844278</v>
      </c>
      <c r="AS538" t="str">
        <f t="shared" si="472"/>
        <v>-0,0000166666666666667</v>
      </c>
      <c r="AT538" t="str">
        <f t="shared" si="473"/>
        <v>0,0330014006337426i</v>
      </c>
      <c r="AU538">
        <f t="shared" si="496"/>
        <v>3.30014006337426E-2</v>
      </c>
      <c r="AV538">
        <f t="shared" si="497"/>
        <v>1.5707963267948966</v>
      </c>
      <c r="AW538" t="str">
        <f t="shared" si="474"/>
        <v>1+11,1060423912809i</v>
      </c>
      <c r="AX538">
        <f t="shared" si="498"/>
        <v>11.15097204717725</v>
      </c>
      <c r="AY538">
        <f t="shared" si="499"/>
        <v>1.4809974074229859</v>
      </c>
      <c r="AZ538" t="str">
        <f t="shared" si="475"/>
        <v>1+2628,95889176464i</v>
      </c>
      <c r="BA538">
        <f t="shared" si="500"/>
        <v>2628.9590819539899</v>
      </c>
      <c r="BB538">
        <f t="shared" si="501"/>
        <v>1.5704159481001581</v>
      </c>
      <c r="BC538" s="41" t="str">
        <f t="shared" si="502"/>
        <v>-0,0106325186682815+0,118590232125896i</v>
      </c>
      <c r="BD538">
        <f t="shared" si="503"/>
        <v>-18.484250466455808</v>
      </c>
      <c r="BE538" s="43">
        <f t="shared" si="504"/>
        <v>95.123304991020831</v>
      </c>
      <c r="BF538" s="41" t="str">
        <f t="shared" si="505"/>
        <v>-0,243055500425776-0,186455662544204i</v>
      </c>
      <c r="BG538" s="20">
        <f t="shared" si="506"/>
        <v>-10.27604177821633</v>
      </c>
      <c r="BH538" s="43">
        <f t="shared" si="507"/>
        <v>-142.50703087590745</v>
      </c>
      <c r="BI538" s="41" t="str">
        <f t="shared" si="460"/>
        <v>3,19876764882569+0,539682057151152i</v>
      </c>
      <c r="BJ538" s="20">
        <f t="shared" si="508"/>
        <v>10.221548896662902</v>
      </c>
      <c r="BK538" s="43">
        <f t="shared" si="461"/>
        <v>9.5765074471765459</v>
      </c>
      <c r="BL538">
        <f t="shared" si="509"/>
        <v>-10.27604177821633</v>
      </c>
      <c r="BM538" s="43">
        <f t="shared" si="510"/>
        <v>-142.50703087590745</v>
      </c>
    </row>
    <row r="539" spans="14:65" x14ac:dyDescent="0.25">
      <c r="N539" s="9">
        <v>21</v>
      </c>
      <c r="O539" s="34">
        <f t="shared" si="462"/>
        <v>1621810.0973589318</v>
      </c>
      <c r="P539" s="33" t="str">
        <f t="shared" si="463"/>
        <v>54,631621870174</v>
      </c>
      <c r="Q539" s="4" t="str">
        <f t="shared" si="464"/>
        <v>1+40614,0517684193i</v>
      </c>
      <c r="R539" s="4">
        <f t="shared" si="476"/>
        <v>40614.051780730311</v>
      </c>
      <c r="S539" s="4">
        <f t="shared" si="477"/>
        <v>1.5707717047747767</v>
      </c>
      <c r="T539" s="4" t="str">
        <f t="shared" si="465"/>
        <v>1+509,506668738055i</v>
      </c>
      <c r="U539" s="4">
        <f t="shared" si="478"/>
        <v>509.5076500785342</v>
      </c>
      <c r="V539" s="4">
        <f t="shared" si="479"/>
        <v>1.5688336464664165</v>
      </c>
      <c r="W539" t="str">
        <f t="shared" si="466"/>
        <v>1-40,5499935532848i</v>
      </c>
      <c r="X539" s="4">
        <f t="shared" si="480"/>
        <v>40.562322137316528</v>
      </c>
      <c r="Y539" s="4">
        <f t="shared" si="481"/>
        <v>-1.5461404078645882</v>
      </c>
      <c r="Z539" t="str">
        <f t="shared" si="467"/>
        <v>-9,5210719675815+5,57124114414508i</v>
      </c>
      <c r="AA539" s="4">
        <f t="shared" si="482"/>
        <v>11.031298169212961</v>
      </c>
      <c r="AB539" s="4">
        <f t="shared" si="483"/>
        <v>2.6121649410177934</v>
      </c>
      <c r="AC539" s="47" t="str">
        <f t="shared" si="484"/>
        <v>-1,32182125548809+2,14560057293889i</v>
      </c>
      <c r="AD539" s="20">
        <f t="shared" si="485"/>
        <v>8.0282934220487281</v>
      </c>
      <c r="AE539" s="43">
        <f t="shared" si="486"/>
        <v>121.63561102084483</v>
      </c>
      <c r="AF539" t="str">
        <f t="shared" si="468"/>
        <v>171,265703090588</v>
      </c>
      <c r="AG539" t="str">
        <f t="shared" si="469"/>
        <v>1+40225,3745848316i</v>
      </c>
      <c r="AH539">
        <f t="shared" si="487"/>
        <v>40225.374597261565</v>
      </c>
      <c r="AI539">
        <f t="shared" si="488"/>
        <v>1.5707714668648123</v>
      </c>
      <c r="AJ539" t="str">
        <f t="shared" si="470"/>
        <v>1+509,506668738055i</v>
      </c>
      <c r="AK539">
        <f t="shared" si="489"/>
        <v>509.5076500785342</v>
      </c>
      <c r="AL539">
        <f t="shared" si="490"/>
        <v>1.5688336464664165</v>
      </c>
      <c r="AM539" t="str">
        <f t="shared" si="471"/>
        <v>1-12,8111437737755i</v>
      </c>
      <c r="AN539">
        <f t="shared" si="491"/>
        <v>12.850113026442482</v>
      </c>
      <c r="AO539">
        <f t="shared" si="492"/>
        <v>-1.4928972380925751</v>
      </c>
      <c r="AP539" s="41" t="str">
        <f t="shared" si="493"/>
        <v>2,11544838645727-27,7954551654685i</v>
      </c>
      <c r="AQ539">
        <f t="shared" si="494"/>
        <v>28.904559228985377</v>
      </c>
      <c r="AR539" s="43">
        <f t="shared" si="495"/>
        <v>-85.647739919724216</v>
      </c>
      <c r="AS539" t="str">
        <f t="shared" si="472"/>
        <v>-0,0000166666666666667</v>
      </c>
      <c r="AT539" t="str">
        <f t="shared" si="473"/>
        <v>0,0337701020039584i</v>
      </c>
      <c r="AU539">
        <f t="shared" si="496"/>
        <v>3.3770102003958399E-2</v>
      </c>
      <c r="AV539">
        <f t="shared" si="497"/>
        <v>1.5707963267948966</v>
      </c>
      <c r="AW539" t="str">
        <f t="shared" si="474"/>
        <v>1+11,3647353509707i</v>
      </c>
      <c r="AX539">
        <f t="shared" si="498"/>
        <v>11.408646264899405</v>
      </c>
      <c r="AY539">
        <f t="shared" si="499"/>
        <v>1.4830308788159001</v>
      </c>
      <c r="AZ539" t="str">
        <f t="shared" si="475"/>
        <v>1+2690,19521093693i</v>
      </c>
      <c r="BA539">
        <f t="shared" si="500"/>
        <v>2690.1953967970417</v>
      </c>
      <c r="BB539">
        <f t="shared" si="501"/>
        <v>1.5704246065755327</v>
      </c>
      <c r="BC539" s="41" t="str">
        <f t="shared" si="502"/>
        <v>-0,0101576531463671+0,115932573000165i</v>
      </c>
      <c r="BD539">
        <f t="shared" si="503"/>
        <v>-18.682678245012866</v>
      </c>
      <c r="BE539" s="43">
        <f t="shared" si="504"/>
        <v>95.00729175654223</v>
      </c>
      <c r="BF539" s="41" t="str">
        <f t="shared" si="505"/>
        <v>-0,23531839321669-0,175036405605602i</v>
      </c>
      <c r="BG539" s="20">
        <f t="shared" si="506"/>
        <v>-10.654384822964154</v>
      </c>
      <c r="BH539" s="43">
        <f t="shared" si="507"/>
        <v>-143.35709722261302</v>
      </c>
      <c r="BI539" s="41" t="str">
        <f t="shared" si="460"/>
        <v>3,20091064408482+0,527585967107266i</v>
      </c>
      <c r="BJ539" s="20">
        <f t="shared" si="508"/>
        <v>10.221880983972527</v>
      </c>
      <c r="BK539" s="43">
        <f t="shared" si="461"/>
        <v>9.3595518368180173</v>
      </c>
      <c r="BL539">
        <f t="shared" si="509"/>
        <v>-10.654384822964154</v>
      </c>
      <c r="BM539" s="43">
        <f t="shared" si="510"/>
        <v>-143.35709722261302</v>
      </c>
    </row>
    <row r="540" spans="14:65" x14ac:dyDescent="0.25">
      <c r="N540" s="9">
        <v>22</v>
      </c>
      <c r="O540" s="34">
        <f t="shared" si="462"/>
        <v>1659586.9074375622</v>
      </c>
      <c r="P540" s="33" t="str">
        <f t="shared" si="463"/>
        <v>54,631621870174</v>
      </c>
      <c r="Q540" s="4" t="str">
        <f t="shared" si="464"/>
        <v>1+41560,0745627514i</v>
      </c>
      <c r="R540" s="4">
        <f t="shared" si="476"/>
        <v>41560.074574782171</v>
      </c>
      <c r="S540" s="4">
        <f t="shared" si="477"/>
        <v>1.5707722652403799</v>
      </c>
      <c r="T540" s="4" t="str">
        <f t="shared" si="465"/>
        <v>1+521,374603639965i</v>
      </c>
      <c r="U540" s="4">
        <f t="shared" si="478"/>
        <v>521.37556264244938</v>
      </c>
      <c r="V540" s="4">
        <f t="shared" si="479"/>
        <v>1.5688783224142242</v>
      </c>
      <c r="W540" t="str">
        <f t="shared" si="466"/>
        <v>1-41,4945242401062i</v>
      </c>
      <c r="X540" s="4">
        <f t="shared" si="480"/>
        <v>41.506572273710596</v>
      </c>
      <c r="Y540" s="4">
        <f t="shared" si="481"/>
        <v>-1.5467014253737041</v>
      </c>
      <c r="Z540" t="str">
        <f t="shared" si="467"/>
        <v>-10,0169148133527+5,7010120211099i</v>
      </c>
      <c r="AA540" s="4">
        <f t="shared" si="482"/>
        <v>11.525628852379567</v>
      </c>
      <c r="AB540" s="4">
        <f t="shared" si="483"/>
        <v>2.6241745926041817</v>
      </c>
      <c r="AC540" s="47" t="str">
        <f t="shared" si="484"/>
        <v>-1,26815561583708+2,11743276803607i</v>
      </c>
      <c r="AD540" s="20">
        <f t="shared" si="485"/>
        <v>7.8474137281646801</v>
      </c>
      <c r="AE540" s="43">
        <f t="shared" si="486"/>
        <v>120.91789236695837</v>
      </c>
      <c r="AF540" t="str">
        <f t="shared" si="468"/>
        <v>171,265703090588</v>
      </c>
      <c r="AG540" t="str">
        <f t="shared" si="469"/>
        <v>1+41162,3439245267i</v>
      </c>
      <c r="AH540">
        <f t="shared" si="487"/>
        <v>41162.343936673722</v>
      </c>
      <c r="AI540">
        <f t="shared" si="488"/>
        <v>1.5707720327459076</v>
      </c>
      <c r="AJ540" t="str">
        <f t="shared" si="470"/>
        <v>1+521,374603639965i</v>
      </c>
      <c r="AK540">
        <f t="shared" si="489"/>
        <v>521.37556264244938</v>
      </c>
      <c r="AL540">
        <f t="shared" si="490"/>
        <v>1.5688783224142242</v>
      </c>
      <c r="AM540" t="str">
        <f t="shared" si="471"/>
        <v>1-13,1095536468058i</v>
      </c>
      <c r="AN540">
        <f t="shared" si="491"/>
        <v>13.147638450249508</v>
      </c>
      <c r="AO540">
        <f t="shared" si="492"/>
        <v>-1.4946635146839962</v>
      </c>
      <c r="AP540" s="41" t="str">
        <f t="shared" si="493"/>
        <v>2,11544838175231-28,4427008206348i</v>
      </c>
      <c r="AQ540">
        <f t="shared" si="494"/>
        <v>29.103374579837467</v>
      </c>
      <c r="AR540" s="43">
        <f t="shared" si="495"/>
        <v>-85.746412793208691</v>
      </c>
      <c r="AS540" t="str">
        <f t="shared" si="472"/>
        <v>-0,0000166666666666667</v>
      </c>
      <c r="AT540" t="str">
        <f t="shared" si="473"/>
        <v>0,0345567087292569i</v>
      </c>
      <c r="AU540">
        <f t="shared" si="496"/>
        <v>3.4556708729256903E-2</v>
      </c>
      <c r="AV540">
        <f t="shared" si="497"/>
        <v>1.5707963267948966</v>
      </c>
      <c r="AW540" t="str">
        <f t="shared" si="474"/>
        <v>1+11,6294540437737i</v>
      </c>
      <c r="AX540">
        <f t="shared" si="498"/>
        <v>11.672369140677676</v>
      </c>
      <c r="AY540">
        <f t="shared" si="499"/>
        <v>1.4850187661528464</v>
      </c>
      <c r="AZ540" t="str">
        <f t="shared" si="475"/>
        <v>1+2752,85790721901i</v>
      </c>
      <c r="BA540">
        <f t="shared" si="500"/>
        <v>2752.8580888484294</v>
      </c>
      <c r="BB540">
        <f t="shared" si="501"/>
        <v>1.5704330679599994</v>
      </c>
      <c r="BC540" s="41" t="str">
        <f t="shared" si="502"/>
        <v>-0,00970383896291129+0,113332648284815i</v>
      </c>
      <c r="BD540">
        <f t="shared" si="503"/>
        <v>-18.88117625366305</v>
      </c>
      <c r="BE540" s="43">
        <f t="shared" si="504"/>
        <v>94.893879003606472</v>
      </c>
      <c r="BF540" s="41" t="str">
        <f t="shared" si="505"/>
        <v>-0,22766828529058-0,16427066097589i</v>
      </c>
      <c r="BG540" s="20">
        <f t="shared" si="506"/>
        <v>-11.033762525498361</v>
      </c>
      <c r="BH540" s="43">
        <f t="shared" si="507"/>
        <v>-144.18822862943523</v>
      </c>
      <c r="BI540" s="41" t="str">
        <f t="shared" si="460"/>
        <v>3,20295863794435+0,515752755847521i</v>
      </c>
      <c r="BJ540" s="20">
        <f t="shared" si="508"/>
        <v>10.222198326174428</v>
      </c>
      <c r="BK540" s="43">
        <f t="shared" si="461"/>
        <v>9.147466210397786</v>
      </c>
      <c r="BL540">
        <f t="shared" si="509"/>
        <v>-11.033762525498361</v>
      </c>
      <c r="BM540" s="43">
        <f t="shared" si="510"/>
        <v>-144.18822862943523</v>
      </c>
    </row>
    <row r="541" spans="14:65" x14ac:dyDescent="0.25">
      <c r="N541" s="9">
        <v>23</v>
      </c>
      <c r="O541" s="34">
        <f t="shared" si="462"/>
        <v>1698243.6524617488</v>
      </c>
      <c r="P541" s="33" t="str">
        <f t="shared" si="463"/>
        <v>54,631621870174</v>
      </c>
      <c r="Q541" s="4" t="str">
        <f t="shared" si="464"/>
        <v>1+42528,1330587294i</v>
      </c>
      <c r="R541" s="4">
        <f t="shared" si="476"/>
        <v>42528.133070486321</v>
      </c>
      <c r="S541" s="4">
        <f t="shared" si="477"/>
        <v>1.5707728129482288</v>
      </c>
      <c r="T541" s="4" t="str">
        <f t="shared" si="465"/>
        <v>1+533,518978257935i</v>
      </c>
      <c r="U541" s="4">
        <f t="shared" si="478"/>
        <v>533.5199154308965</v>
      </c>
      <c r="V541" s="4">
        <f t="shared" si="479"/>
        <v>1.5689219814207018</v>
      </c>
      <c r="W541" t="str">
        <f t="shared" si="466"/>
        <v>1-42,4610558729248i</v>
      </c>
      <c r="X541" s="4">
        <f t="shared" si="480"/>
        <v>42.472829736710992</v>
      </c>
      <c r="Y541" s="4">
        <f t="shared" si="481"/>
        <v>-1.5472496872243802</v>
      </c>
      <c r="Z541" t="str">
        <f t="shared" si="467"/>
        <v>-10,5361260125066+5,83380565011013i</v>
      </c>
      <c r="AA541" s="4">
        <f t="shared" si="482"/>
        <v>12.04338987638759</v>
      </c>
      <c r="AB541" s="4">
        <f t="shared" si="483"/>
        <v>2.6359166282014326</v>
      </c>
      <c r="AC541" s="47" t="str">
        <f t="shared" si="484"/>
        <v>-1,21640087725719+2,08862902661716i</v>
      </c>
      <c r="AD541" s="20">
        <f t="shared" si="485"/>
        <v>7.6656172399274913</v>
      </c>
      <c r="AE541" s="43">
        <f t="shared" si="486"/>
        <v>120.21618028969255</v>
      </c>
      <c r="AF541" t="str">
        <f t="shared" si="468"/>
        <v>171,265703090588</v>
      </c>
      <c r="AG541" t="str">
        <f t="shared" si="469"/>
        <v>1+42121,1380838187i</v>
      </c>
      <c r="AH541">
        <f t="shared" si="487"/>
        <v>42121.138095689224</v>
      </c>
      <c r="AI541">
        <f t="shared" si="488"/>
        <v>1.5707725857459767</v>
      </c>
      <c r="AJ541" t="str">
        <f t="shared" si="470"/>
        <v>1+533,518978257935i</v>
      </c>
      <c r="AK541">
        <f t="shared" si="489"/>
        <v>533.5199154308965</v>
      </c>
      <c r="AL541">
        <f t="shared" si="490"/>
        <v>1.5689219814207018</v>
      </c>
      <c r="AM541" t="str">
        <f t="shared" si="471"/>
        <v>1-13,414914378705i</v>
      </c>
      <c r="AN541">
        <f t="shared" si="491"/>
        <v>13.452134692604968</v>
      </c>
      <c r="AO541">
        <f t="shared" si="492"/>
        <v>-1.496390045935003</v>
      </c>
      <c r="AP541" s="41" t="str">
        <f t="shared" si="493"/>
        <v>2,1154483772591-29,1050271722598i</v>
      </c>
      <c r="AQ541">
        <f t="shared" si="494"/>
        <v>29.302242947332786</v>
      </c>
      <c r="AR541" s="43">
        <f t="shared" si="495"/>
        <v>-85.842865954849955</v>
      </c>
      <c r="AS541" t="str">
        <f t="shared" si="472"/>
        <v>-0,0000166666666666667</v>
      </c>
      <c r="AT541" t="str">
        <f t="shared" si="473"/>
        <v>0,0353616378789358i</v>
      </c>
      <c r="AU541">
        <f t="shared" si="496"/>
        <v>3.53616378789358E-2</v>
      </c>
      <c r="AV541">
        <f t="shared" si="497"/>
        <v>1.5707963267948966</v>
      </c>
      <c r="AW541" t="str">
        <f t="shared" si="474"/>
        <v>1+11,9003388270448i</v>
      </c>
      <c r="AX541">
        <f t="shared" si="498"/>
        <v>11.942280527540374</v>
      </c>
      <c r="AY541">
        <f t="shared" si="499"/>
        <v>1.4869620605589298</v>
      </c>
      <c r="AZ541" t="str">
        <f t="shared" si="475"/>
        <v>1+2816,9802052019i</v>
      </c>
      <c r="BA541">
        <f t="shared" si="500"/>
        <v>2816.9803826969296</v>
      </c>
      <c r="BB541">
        <f t="shared" si="501"/>
        <v>1.5704413367398911</v>
      </c>
      <c r="BC541" s="41" t="str">
        <f t="shared" si="502"/>
        <v>-0,00927015660338524+0,110789325111541i</v>
      </c>
      <c r="BD541">
        <f t="shared" si="503"/>
        <v>-19.07974137796446</v>
      </c>
      <c r="BE541" s="43">
        <f t="shared" si="504"/>
        <v>94.783010201976055</v>
      </c>
      <c r="BF541" s="41" t="str">
        <f t="shared" si="505"/>
        <v>-0,220121573642621-0,154126150419528i</v>
      </c>
      <c r="BG541" s="20">
        <f t="shared" si="506"/>
        <v>-11.414124138036952</v>
      </c>
      <c r="BH541" s="43">
        <f t="shared" si="507"/>
        <v>-145.0008095083314</v>
      </c>
      <c r="BI541" s="41" t="str">
        <f t="shared" si="460"/>
        <v>3,20491578002416+0,504177257857471i</v>
      </c>
      <c r="BJ541" s="20">
        <f t="shared" si="508"/>
        <v>10.222501569368337</v>
      </c>
      <c r="BK541" s="43">
        <f t="shared" si="461"/>
        <v>8.940144247126085</v>
      </c>
      <c r="BL541">
        <f t="shared" si="509"/>
        <v>-11.414124138036952</v>
      </c>
      <c r="BM541" s="43">
        <f t="shared" si="510"/>
        <v>-145.0008095083314</v>
      </c>
    </row>
    <row r="542" spans="14:65" x14ac:dyDescent="0.25">
      <c r="N542" s="9">
        <v>24</v>
      </c>
      <c r="O542" s="34">
        <f t="shared" si="462"/>
        <v>1737800.8287493798</v>
      </c>
      <c r="P542" s="33" t="str">
        <f t="shared" si="463"/>
        <v>54,631621870174</v>
      </c>
      <c r="Q542" s="4" t="str">
        <f t="shared" si="464"/>
        <v>1+43518,740533781i</v>
      </c>
      <c r="R542" s="4">
        <f t="shared" si="476"/>
        <v>43518.740545270302</v>
      </c>
      <c r="S542" s="4">
        <f t="shared" si="477"/>
        <v>1.5707733481887247</v>
      </c>
      <c r="T542" s="4" t="str">
        <f t="shared" si="465"/>
        <v>1+545,94623170013i</v>
      </c>
      <c r="U542" s="4">
        <f t="shared" si="478"/>
        <v>545.94714754046674</v>
      </c>
      <c r="V542" s="4">
        <f t="shared" si="479"/>
        <v>1.5689646466337663</v>
      </c>
      <c r="W542" t="str">
        <f t="shared" si="466"/>
        <v>1-43,4501009196053i</v>
      </c>
      <c r="X542" s="4">
        <f t="shared" si="480"/>
        <v>43.461606849308794</v>
      </c>
      <c r="Y542" s="4">
        <f t="shared" si="481"/>
        <v>-1.5477854827931303</v>
      </c>
      <c r="Z542" t="str">
        <f t="shared" si="467"/>
        <v>-11,0798068816081+5,96969244008553i</v>
      </c>
      <c r="AA542" s="4">
        <f t="shared" si="482"/>
        <v>12.585680290033769</v>
      </c>
      <c r="AB542" s="4">
        <f t="shared" si="483"/>
        <v>2.6473964564013035</v>
      </c>
      <c r="AC542" s="47" t="str">
        <f t="shared" si="484"/>
        <v>-1,16651401799988+2,05927743527988i</v>
      </c>
      <c r="AD542" s="20">
        <f t="shared" si="485"/>
        <v>7.4829492083784057</v>
      </c>
      <c r="AE542" s="43">
        <f t="shared" si="486"/>
        <v>119.53014962915269</v>
      </c>
      <c r="AF542" t="str">
        <f t="shared" si="468"/>
        <v>171,265703090588</v>
      </c>
      <c r="AG542" t="str">
        <f t="shared" si="469"/>
        <v>1+43102,2654280614i</v>
      </c>
      <c r="AH542">
        <f t="shared" si="487"/>
        <v>43102.265439661729</v>
      </c>
      <c r="AI542">
        <f t="shared" si="488"/>
        <v>1.5707731261582274</v>
      </c>
      <c r="AJ542" t="str">
        <f t="shared" si="470"/>
        <v>1+545,94623170013i</v>
      </c>
      <c r="AK542">
        <f t="shared" si="489"/>
        <v>545.94714754046674</v>
      </c>
      <c r="AL542">
        <f t="shared" si="490"/>
        <v>1.5689646466337663</v>
      </c>
      <c r="AM542" t="str">
        <f t="shared" si="471"/>
        <v>1-13,7273878757751i</v>
      </c>
      <c r="AN542">
        <f t="shared" si="491"/>
        <v>13.763763216939516</v>
      </c>
      <c r="AO542">
        <f t="shared" si="492"/>
        <v>-1.4980777060792019</v>
      </c>
      <c r="AP542" s="41" t="str">
        <f t="shared" si="493"/>
        <v>2,11544837296812-29,7827853945419i</v>
      </c>
      <c r="AQ542">
        <f t="shared" si="494"/>
        <v>29.501161971701663</v>
      </c>
      <c r="AR542" s="43">
        <f t="shared" si="495"/>
        <v>-85.937148185065539</v>
      </c>
      <c r="AS542" t="str">
        <f t="shared" si="472"/>
        <v>-0,0000166666666666667</v>
      </c>
      <c r="AT542" t="str">
        <f t="shared" si="473"/>
        <v>0,0361853162370847i</v>
      </c>
      <c r="AU542">
        <f t="shared" si="496"/>
        <v>3.6185316237084701E-2</v>
      </c>
      <c r="AV542">
        <f t="shared" si="497"/>
        <v>1.5707963267948966</v>
      </c>
      <c r="AW542" t="str">
        <f t="shared" si="474"/>
        <v>1+12,1775333274815i</v>
      </c>
      <c r="AX542">
        <f t="shared" si="498"/>
        <v>12.218523558185034</v>
      </c>
      <c r="AY542">
        <f t="shared" si="499"/>
        <v>1.4888617336527969</v>
      </c>
      <c r="AZ542" t="str">
        <f t="shared" si="475"/>
        <v>1+2882,59610337668i</v>
      </c>
      <c r="BA542">
        <f t="shared" si="500"/>
        <v>2882.5962768314293</v>
      </c>
      <c r="BB542">
        <f t="shared" si="501"/>
        <v>1.5704494172994203</v>
      </c>
      <c r="BC542" s="41" t="str">
        <f t="shared" si="502"/>
        <v>-0,00885572551767717+0,108301484616459i</v>
      </c>
      <c r="BD542">
        <f t="shared" si="503"/>
        <v>-19.278370639605772</v>
      </c>
      <c r="BE542" s="43">
        <f t="shared" si="504"/>
        <v>94.674629933200038</v>
      </c>
      <c r="BF542" s="41" t="str">
        <f t="shared" si="505"/>
        <v>-0,212692475522055-0,144571595706883i</v>
      </c>
      <c r="BG542" s="20">
        <f t="shared" si="506"/>
        <v>-11.795421431227371</v>
      </c>
      <c r="BH542" s="43">
        <f t="shared" si="507"/>
        <v>-145.79522043764715</v>
      </c>
      <c r="BI542" s="41" t="str">
        <f t="shared" si="460"/>
        <v>3,20678604410446+0,492854372027868i</v>
      </c>
      <c r="BJ542" s="20">
        <f t="shared" si="508"/>
        <v>10.222791332095902</v>
      </c>
      <c r="BK542" s="43">
        <f t="shared" si="461"/>
        <v>8.7374817481344973</v>
      </c>
      <c r="BL542">
        <f t="shared" si="509"/>
        <v>-11.795421431227371</v>
      </c>
      <c r="BM542" s="43">
        <f t="shared" si="510"/>
        <v>-145.79522043764715</v>
      </c>
    </row>
    <row r="543" spans="14:65" x14ac:dyDescent="0.25">
      <c r="N543" s="9">
        <v>25</v>
      </c>
      <c r="O543" s="34">
        <f t="shared" si="462"/>
        <v>1778279.4100389241</v>
      </c>
      <c r="P543" s="33" t="str">
        <f t="shared" si="463"/>
        <v>54,631621870174</v>
      </c>
      <c r="Q543" s="4" t="str">
        <f t="shared" si="464"/>
        <v>1+44532,4222211023i</v>
      </c>
      <c r="R543" s="4">
        <f t="shared" si="476"/>
        <v>44532.422232330078</v>
      </c>
      <c r="S543" s="4">
        <f t="shared" si="477"/>
        <v>1.5707738712456596</v>
      </c>
      <c r="T543" s="4" t="str">
        <f t="shared" si="465"/>
        <v>1+558,662953060825i</v>
      </c>
      <c r="U543" s="4">
        <f t="shared" si="478"/>
        <v>558.66384805412417</v>
      </c>
      <c r="V543" s="4">
        <f t="shared" si="479"/>
        <v>1.5690063406744565</v>
      </c>
      <c r="W543" t="str">
        <f t="shared" si="466"/>
        <v>1-44,4621837849234i</v>
      </c>
      <c r="X543" s="4">
        <f t="shared" si="480"/>
        <v>44.473427874679338</v>
      </c>
      <c r="Y543" s="4">
        <f t="shared" si="481"/>
        <v>-1.5483090949346361</v>
      </c>
      <c r="Z543" t="str">
        <f t="shared" si="467"/>
        <v>-11,6491106406735+6,10874444001089i</v>
      </c>
      <c r="AA543" s="4">
        <f t="shared" si="482"/>
        <v>13.153651103477563</v>
      </c>
      <c r="AB543" s="4">
        <f t="shared" si="483"/>
        <v>2.6586194370496385</v>
      </c>
      <c r="AC543" s="47" t="str">
        <f t="shared" si="484"/>
        <v>-1,11845040421936+2,02946047607454i</v>
      </c>
      <c r="AD543" s="20">
        <f t="shared" si="485"/>
        <v>7.299452614560396</v>
      </c>
      <c r="AE543" s="43">
        <f t="shared" si="486"/>
        <v>118.85947836224369</v>
      </c>
      <c r="AF543" t="str">
        <f t="shared" si="468"/>
        <v>171,265703090588</v>
      </c>
      <c r="AG543" t="str">
        <f t="shared" si="469"/>
        <v>1+44106,24616396i</v>
      </c>
      <c r="AH543">
        <f t="shared" si="487"/>
        <v>44106.246175296263</v>
      </c>
      <c r="AI543">
        <f t="shared" si="488"/>
        <v>1.5707736542691932</v>
      </c>
      <c r="AJ543" t="str">
        <f t="shared" si="470"/>
        <v>1+558,662953060825i</v>
      </c>
      <c r="AK543">
        <f t="shared" si="489"/>
        <v>558.66384805412417</v>
      </c>
      <c r="AL543">
        <f t="shared" si="490"/>
        <v>1.5690063406744565</v>
      </c>
      <c r="AM543" t="str">
        <f t="shared" si="471"/>
        <v>1-14,0471398156004i</v>
      </c>
      <c r="AN543">
        <f t="shared" si="491"/>
        <v>14.082689267289329</v>
      </c>
      <c r="AO543">
        <f t="shared" si="492"/>
        <v>-1.4997273514604914</v>
      </c>
      <c r="AP543" s="41" t="str">
        <f t="shared" si="493"/>
        <v>2,11544836887027-30,4763348438621i</v>
      </c>
      <c r="AQ543">
        <f t="shared" si="494"/>
        <v>29.700129397079614</v>
      </c>
      <c r="AR543" s="43">
        <f t="shared" si="495"/>
        <v>-86.029307269073755</v>
      </c>
      <c r="AS543" t="str">
        <f t="shared" si="472"/>
        <v>-0,0000166666666666667</v>
      </c>
      <c r="AT543" t="str">
        <f t="shared" si="473"/>
        <v>0,0370281805288716i</v>
      </c>
      <c r="AU543">
        <f t="shared" si="496"/>
        <v>3.70281805288716E-2</v>
      </c>
      <c r="AV543">
        <f t="shared" si="497"/>
        <v>1.5707963267948966</v>
      </c>
      <c r="AW543" t="str">
        <f t="shared" si="474"/>
        <v>1+12,4611845172771i</v>
      </c>
      <c r="AX543">
        <f t="shared" si="498"/>
        <v>12.501244720971849</v>
      </c>
      <c r="AY543">
        <f t="shared" si="499"/>
        <v>1.4907187377920694</v>
      </c>
      <c r="AZ543" t="str">
        <f t="shared" si="475"/>
        <v>1+2949,74039216115i</v>
      </c>
      <c r="BA543">
        <f t="shared" si="500"/>
        <v>2949.7405616675874</v>
      </c>
      <c r="BB543">
        <f t="shared" si="501"/>
        <v>1.570457313923002</v>
      </c>
      <c r="BC543" s="41" t="str">
        <f t="shared" si="502"/>
        <v>-0,00845970257442773+0,10586802237354i</v>
      </c>
      <c r="BD543">
        <f t="shared" si="503"/>
        <v>-19.477061190629069</v>
      </c>
      <c r="BE543" s="43">
        <f t="shared" si="504"/>
        <v>94.568683876685043</v>
      </c>
      <c r="BF543" s="41" t="str">
        <f t="shared" si="505"/>
        <v>-0,20539320932333-0,135576764431737i</v>
      </c>
      <c r="BG543" s="20">
        <f t="shared" si="506"/>
        <v>-12.177608576068691</v>
      </c>
      <c r="BH543" s="43">
        <f t="shared" si="507"/>
        <v>-146.57183776107127</v>
      </c>
      <c r="BI543" s="41" t="str">
        <f t="shared" si="460"/>
        <v>3,20857323510129+0,481779063583368i</v>
      </c>
      <c r="BJ543" s="20">
        <f t="shared" si="508"/>
        <v>10.223068206450545</v>
      </c>
      <c r="BK543" s="43">
        <f t="shared" si="461"/>
        <v>8.5393766076112829</v>
      </c>
      <c r="BL543">
        <f t="shared" si="509"/>
        <v>-12.177608576068691</v>
      </c>
      <c r="BM543" s="43">
        <f t="shared" si="510"/>
        <v>-146.57183776107127</v>
      </c>
    </row>
    <row r="544" spans="14:65" x14ac:dyDescent="0.25">
      <c r="N544" s="9">
        <v>26</v>
      </c>
      <c r="O544" s="34">
        <f t="shared" si="462"/>
        <v>1819700.8586099846</v>
      </c>
      <c r="P544" s="33" t="str">
        <f t="shared" si="463"/>
        <v>54,631621870174</v>
      </c>
      <c r="Q544" s="4" t="str">
        <f t="shared" si="464"/>
        <v>1+45569,7155881418i</v>
      </c>
      <c r="R544" s="4">
        <f t="shared" si="476"/>
        <v>45569.715599113995</v>
      </c>
      <c r="S544" s="4">
        <f t="shared" si="477"/>
        <v>1.5707743823963649</v>
      </c>
      <c r="T544" s="4" t="str">
        <f t="shared" si="465"/>
        <v>1+571,675884914015i</v>
      </c>
      <c r="U544" s="4">
        <f t="shared" si="478"/>
        <v>571.67675953481103</v>
      </c>
      <c r="V544" s="4">
        <f t="shared" si="479"/>
        <v>1.5690470856489245</v>
      </c>
      <c r="W544" t="str">
        <f t="shared" si="466"/>
        <v>1-45,4978410886112i</v>
      </c>
      <c r="X544" s="4">
        <f t="shared" si="480"/>
        <v>45.508829294154758</v>
      </c>
      <c r="Y544" s="4">
        <f t="shared" si="481"/>
        <v>-1.5488208001258592</v>
      </c>
      <c r="Z544" t="str">
        <f t="shared" si="467"/>
        <v>-12,2452448593036+6,25103537709717i</v>
      </c>
      <c r="AA544" s="4">
        <f t="shared" si="482"/>
        <v>13.748507735387925</v>
      </c>
      <c r="AB544" s="4">
        <f t="shared" si="483"/>
        <v>2.6695908748055195</v>
      </c>
      <c r="AC544" s="47" t="str">
        <f t="shared" si="484"/>
        <v>-1,07216413692777+1,9992552478016i</v>
      </c>
      <c r="AD544" s="20">
        <f t="shared" si="485"/>
        <v>7.1151682781416126</v>
      </c>
      <c r="AE544" s="43">
        <f t="shared" si="486"/>
        <v>118.20384796412428</v>
      </c>
      <c r="AF544" t="str">
        <f t="shared" si="468"/>
        <v>171,265703090588</v>
      </c>
      <c r="AG544" t="str">
        <f t="shared" si="469"/>
        <v>1+45133,6126153903i</v>
      </c>
      <c r="AH544">
        <f t="shared" si="487"/>
        <v>45133.612626468523</v>
      </c>
      <c r="AI544">
        <f t="shared" si="488"/>
        <v>1.570774170358886</v>
      </c>
      <c r="AJ544" t="str">
        <f t="shared" si="470"/>
        <v>1+571,675884914015i</v>
      </c>
      <c r="AK544">
        <f t="shared" si="489"/>
        <v>571.67675953481103</v>
      </c>
      <c r="AL544">
        <f t="shared" si="490"/>
        <v>1.5690470856489245</v>
      </c>
      <c r="AM544" t="str">
        <f t="shared" si="471"/>
        <v>1-14,3743397348919i</v>
      </c>
      <c r="AN544">
        <f t="shared" si="491"/>
        <v>14.409081955978046</v>
      </c>
      <c r="AO544">
        <f t="shared" si="492"/>
        <v>-1.501339820808711</v>
      </c>
      <c r="AP544" s="41" t="str">
        <f t="shared" si="493"/>
        <v>2,11544836495684-31,1860432493184i</v>
      </c>
      <c r="AQ544">
        <f t="shared" si="494"/>
        <v>29.89914306703071</v>
      </c>
      <c r="AR544" s="43">
        <f t="shared" si="495"/>
        <v>-86.119390012008807</v>
      </c>
      <c r="AS544" t="str">
        <f t="shared" si="472"/>
        <v>-0,0000166666666666667</v>
      </c>
      <c r="AT544" t="str">
        <f t="shared" si="473"/>
        <v>0,037890677652101i</v>
      </c>
      <c r="AU544">
        <f t="shared" si="496"/>
        <v>3.7890677652101003E-2</v>
      </c>
      <c r="AV544">
        <f t="shared" si="497"/>
        <v>1.5707963267948966</v>
      </c>
      <c r="AW544" t="str">
        <f t="shared" si="474"/>
        <v>1+12,7514427920471i</v>
      </c>
      <c r="AX544">
        <f t="shared" si="498"/>
        <v>12.790593937689131</v>
      </c>
      <c r="AY544">
        <f t="shared" si="499"/>
        <v>1.4925340063258734</v>
      </c>
      <c r="AZ544" t="str">
        <f t="shared" si="475"/>
        <v>1+3018,448672346i</v>
      </c>
      <c r="BA544">
        <f t="shared" si="500"/>
        <v>3018.4488379940003</v>
      </c>
      <c r="BB544">
        <f t="shared" si="501"/>
        <v>1.5704650307975268</v>
      </c>
      <c r="BC544" s="41" t="str">
        <f t="shared" si="502"/>
        <v>-0,00808128056725765+0,1034878487716i</v>
      </c>
      <c r="BD544">
        <f t="shared" si="503"/>
        <v>-19.675810307883658</v>
      </c>
      <c r="BE544" s="43">
        <f t="shared" si="504"/>
        <v>94.465118795356446</v>
      </c>
      <c r="BF544" s="41" t="str">
        <f t="shared" si="505"/>
        <v>-0,198234165535655-0,127112502643761i</v>
      </c>
      <c r="BG544" s="20">
        <f t="shared" si="506"/>
        <v>-12.560642029742038</v>
      </c>
      <c r="BH544" s="43">
        <f t="shared" si="507"/>
        <v>-147.33103324051928</v>
      </c>
      <c r="BI544" s="41" t="str">
        <f t="shared" si="460"/>
        <v>3,21028099580728+0,470946365757155i</v>
      </c>
      <c r="BJ544" s="20">
        <f t="shared" si="508"/>
        <v>10.223332759147063</v>
      </c>
      <c r="BK544" s="43">
        <f t="shared" si="461"/>
        <v>8.345728783347619</v>
      </c>
      <c r="BL544">
        <f t="shared" si="509"/>
        <v>-12.560642029742038</v>
      </c>
      <c r="BM544" s="43">
        <f t="shared" si="510"/>
        <v>-147.33103324051928</v>
      </c>
    </row>
    <row r="545" spans="14:65" x14ac:dyDescent="0.25">
      <c r="N545" s="9">
        <v>27</v>
      </c>
      <c r="O545" s="34">
        <f t="shared" si="462"/>
        <v>1862087.1366628683</v>
      </c>
      <c r="P545" s="33" t="str">
        <f t="shared" si="463"/>
        <v>54,631621870174</v>
      </c>
      <c r="Q545" s="4" t="str">
        <f t="shared" si="464"/>
        <v>1+46631,1706215725i</v>
      </c>
      <c r="R545" s="4">
        <f t="shared" si="476"/>
        <v>46631.170632294932</v>
      </c>
      <c r="S545" s="4">
        <f t="shared" si="477"/>
        <v>1.5707748819118599</v>
      </c>
      <c r="T545" s="4" t="str">
        <f t="shared" si="465"/>
        <v>1+584,99192688841i</v>
      </c>
      <c r="U545" s="4">
        <f t="shared" si="478"/>
        <v>584.99278160043559</v>
      </c>
      <c r="V545" s="4">
        <f t="shared" si="479"/>
        <v>1.5690869031601538</v>
      </c>
      <c r="W545" t="str">
        <f t="shared" si="466"/>
        <v>1-46,5576219498792i</v>
      </c>
      <c r="X545" s="4">
        <f t="shared" si="480"/>
        <v>46.56836009167462</v>
      </c>
      <c r="Y545" s="4">
        <f t="shared" si="481"/>
        <v>-1.5493208686071622</v>
      </c>
      <c r="Z545" t="str">
        <f t="shared" si="467"/>
        <v>-12,8694740181012+6,39664069588261i</v>
      </c>
      <c r="AA545" s="4">
        <f t="shared" si="482"/>
        <v>14.371512575049415</v>
      </c>
      <c r="AB545" s="4">
        <f t="shared" si="483"/>
        <v>2.6803160135542368</v>
      </c>
      <c r="AC545" s="47" t="str">
        <f t="shared" si="484"/>
        <v>-1,02760836512813+1,96873369187155i</v>
      </c>
      <c r="AD545" s="20">
        <f t="shared" si="485"/>
        <v>6.9301349622068855</v>
      </c>
      <c r="AE545" s="43">
        <f t="shared" si="486"/>
        <v>117.56294372089897</v>
      </c>
      <c r="AF545" t="str">
        <f t="shared" si="468"/>
        <v>171,265703090588</v>
      </c>
      <c r="AG545" t="str">
        <f t="shared" si="469"/>
        <v>1+46184,9095056431i</v>
      </c>
      <c r="AH545">
        <f t="shared" si="487"/>
        <v>46184.909516469153</v>
      </c>
      <c r="AI545">
        <f t="shared" si="488"/>
        <v>1.5707746747009432</v>
      </c>
      <c r="AJ545" t="str">
        <f t="shared" si="470"/>
        <v>1+584,99192688841i</v>
      </c>
      <c r="AK545">
        <f t="shared" si="489"/>
        <v>584.99278160043559</v>
      </c>
      <c r="AL545">
        <f t="shared" si="490"/>
        <v>1.5690869031601538</v>
      </c>
      <c r="AM545" t="str">
        <f t="shared" si="471"/>
        <v>1-14,7091611193776i</v>
      </c>
      <c r="AN545">
        <f t="shared" si="491"/>
        <v>14.743114353345078</v>
      </c>
      <c r="AO545">
        <f t="shared" si="492"/>
        <v>-1.5029159355175166</v>
      </c>
      <c r="AP545" s="41" t="str">
        <f t="shared" si="493"/>
        <v>2,11544836121956-31,9122869077014i</v>
      </c>
      <c r="AQ545">
        <f t="shared" si="494"/>
        <v>30.098200920255692</v>
      </c>
      <c r="AR545" s="43">
        <f t="shared" si="495"/>
        <v>-86.207442254179</v>
      </c>
      <c r="AS545" t="str">
        <f t="shared" si="472"/>
        <v>-0,0000166666666666667</v>
      </c>
      <c r="AT545" t="str">
        <f t="shared" si="473"/>
        <v>0,038773264914164i</v>
      </c>
      <c r="AU545">
        <f t="shared" si="496"/>
        <v>3.8773264914164003E-2</v>
      </c>
      <c r="AV545">
        <f t="shared" si="497"/>
        <v>1.5707963267948966</v>
      </c>
      <c r="AW545" t="str">
        <f t="shared" si="474"/>
        <v>1+13,0484620505707i</v>
      </c>
      <c r="AX545">
        <f t="shared" si="498"/>
        <v>13.086724643132968</v>
      </c>
      <c r="AY545">
        <f t="shared" si="499"/>
        <v>1.4943084538535296</v>
      </c>
      <c r="AZ545" t="str">
        <f t="shared" si="475"/>
        <v>1+3088,7573739708i</v>
      </c>
      <c r="BA545">
        <f t="shared" si="500"/>
        <v>3088.7575358481918</v>
      </c>
      <c r="BB545">
        <f t="shared" si="501"/>
        <v>1.57047257201458</v>
      </c>
      <c r="BC545" s="41" t="str">
        <f t="shared" si="502"/>
        <v>-0,00771968677202877+0,101159889338879i</v>
      </c>
      <c r="BD545">
        <f t="shared" si="503"/>
        <v>-19.87461538770107</v>
      </c>
      <c r="BE545" s="43">
        <f t="shared" si="504"/>
        <v>94.363882520963912</v>
      </c>
      <c r="BF545" s="41" t="str">
        <f t="shared" si="505"/>
        <v>-0,191224067704343-0,119150755938856i</v>
      </c>
      <c r="BG545" s="20">
        <f t="shared" si="506"/>
        <v>-12.94448042549419</v>
      </c>
      <c r="BH545" s="43">
        <f t="shared" si="507"/>
        <v>-148.07317375813713</v>
      </c>
      <c r="BI545" s="41" t="str">
        <f t="shared" si="460"/>
        <v>3,21191281340261+0,460351381229653i</v>
      </c>
      <c r="BJ545" s="20">
        <f t="shared" si="508"/>
        <v>10.223585532554612</v>
      </c>
      <c r="BK545" s="43">
        <f t="shared" si="461"/>
        <v>8.1564402667849301</v>
      </c>
      <c r="BL545">
        <f t="shared" si="509"/>
        <v>-12.94448042549419</v>
      </c>
      <c r="BM545" s="43">
        <f t="shared" si="510"/>
        <v>-148.07317375813713</v>
      </c>
    </row>
    <row r="546" spans="14:65" x14ac:dyDescent="0.25">
      <c r="N546" s="9">
        <v>28</v>
      </c>
      <c r="O546" s="34">
        <f t="shared" si="462"/>
        <v>1905460.7179632513</v>
      </c>
      <c r="P546" s="33" t="str">
        <f t="shared" si="463"/>
        <v>54,631621870174</v>
      </c>
      <c r="Q546" s="4" t="str">
        <f t="shared" si="464"/>
        <v>1+47717,3501189037i</v>
      </c>
      <c r="R546" s="4">
        <f t="shared" si="476"/>
        <v>47717.350129382059</v>
      </c>
      <c r="S546" s="4">
        <f t="shared" si="477"/>
        <v>1.570775370056994</v>
      </c>
      <c r="T546" s="4" t="str">
        <f t="shared" si="465"/>
        <v>1+598,61813932573i</v>
      </c>
      <c r="U546" s="4">
        <f t="shared" si="478"/>
        <v>598.61897458216208</v>
      </c>
      <c r="V546" s="4">
        <f t="shared" si="479"/>
        <v>1.5691258143194107</v>
      </c>
      <c r="W546" t="str">
        <f t="shared" si="466"/>
        <v>1-47,6420882785684i</v>
      </c>
      <c r="X546" s="4">
        <f t="shared" si="480"/>
        <v>47.652582044868296</v>
      </c>
      <c r="Y546" s="4">
        <f t="shared" si="481"/>
        <v>-1.549809564520489</v>
      </c>
      <c r="Z546" t="str">
        <f t="shared" si="467"/>
        <v>-13,5231221908043+6,54563759823461i</v>
      </c>
      <c r="AA546" s="4">
        <f t="shared" si="482"/>
        <v>15.02398766489264</v>
      </c>
      <c r="AB546" s="4">
        <f t="shared" si="483"/>
        <v>2.6908000315962863</v>
      </c>
      <c r="AC546" s="47" t="str">
        <f t="shared" si="484"/>
        <v>-0,984735567351597+1,93796282037466i</v>
      </c>
      <c r="AD546" s="20">
        <f t="shared" si="485"/>
        <v>6.74438947412205</v>
      </c>
      <c r="AE546" s="43">
        <f t="shared" si="486"/>
        <v>116.93645499799707</v>
      </c>
      <c r="AF546" t="str">
        <f t="shared" si="468"/>
        <v>171,265703090588</v>
      </c>
      <c r="AG546" t="str">
        <f t="shared" si="469"/>
        <v>1+47260,6942462457i</v>
      </c>
      <c r="AH546">
        <f t="shared" si="487"/>
        <v>47260.694256825314</v>
      </c>
      <c r="AI546">
        <f t="shared" si="488"/>
        <v>1.5707751675627737</v>
      </c>
      <c r="AJ546" t="str">
        <f t="shared" si="470"/>
        <v>1+598,61813932573i</v>
      </c>
      <c r="AK546">
        <f t="shared" si="489"/>
        <v>598.61897458216208</v>
      </c>
      <c r="AL546">
        <f t="shared" si="490"/>
        <v>1.5691258143194107</v>
      </c>
      <c r="AM546" t="str">
        <f t="shared" si="471"/>
        <v>1-15,0517814957878i</v>
      </c>
      <c r="AN546">
        <f t="shared" si="491"/>
        <v>15.084963579569559</v>
      </c>
      <c r="AO546">
        <f t="shared" si="492"/>
        <v>-1.5044564999238992</v>
      </c>
      <c r="AP546" s="41" t="str">
        <f t="shared" si="493"/>
        <v>2,11544835765047-32,6554508830126i</v>
      </c>
      <c r="AQ546">
        <f t="shared" si="494"/>
        <v>30.297300986477332</v>
      </c>
      <c r="AR546" s="43">
        <f t="shared" si="495"/>
        <v>-86.293508886434211</v>
      </c>
      <c r="AS546" t="str">
        <f t="shared" si="472"/>
        <v>-0,0000166666666666667</v>
      </c>
      <c r="AT546" t="str">
        <f t="shared" si="473"/>
        <v>0,0396764102745093i</v>
      </c>
      <c r="AU546">
        <f t="shared" si="496"/>
        <v>3.9676410274509299E-2</v>
      </c>
      <c r="AV546">
        <f t="shared" si="497"/>
        <v>1.5707963267948966</v>
      </c>
      <c r="AW546" t="str">
        <f t="shared" si="474"/>
        <v>1+13,3523997763904i</v>
      </c>
      <c r="AX546">
        <f t="shared" si="498"/>
        <v>13.389793866544414</v>
      </c>
      <c r="AY546">
        <f t="shared" si="499"/>
        <v>1.4960429764885184</v>
      </c>
      <c r="AZ546" t="str">
        <f t="shared" si="475"/>
        <v>1+3160,70377563985i</v>
      </c>
      <c r="BA546">
        <f t="shared" si="500"/>
        <v>3160.7039338324626</v>
      </c>
      <c r="BB546">
        <f t="shared" si="501"/>
        <v>1.5704799415726114</v>
      </c>
      <c r="BC546" s="41" t="str">
        <f t="shared" si="502"/>
        <v>-0,00737418155419513+0,0988830850189739i</v>
      </c>
      <c r="BD546">
        <f t="shared" si="503"/>
        <v>-20.073473940784456</v>
      </c>
      <c r="BE546" s="43">
        <f t="shared" si="504"/>
        <v>94.2649239390812</v>
      </c>
      <c r="BF546" s="41" t="str">
        <f t="shared" si="505"/>
        <v>-0,184370123474194-0,111664580510358i</v>
      </c>
      <c r="BG546" s="20">
        <f t="shared" si="506"/>
        <v>-13.329084466662412</v>
      </c>
      <c r="BH546" s="43">
        <f t="shared" si="507"/>
        <v>-148.79862106292177</v>
      </c>
      <c r="BI546" s="41" t="str">
        <f t="shared" si="460"/>
        <v>3,21347202574002+0,449989283348237i</v>
      </c>
      <c r="BJ546" s="20">
        <f t="shared" si="508"/>
        <v>10.22382704569287</v>
      </c>
      <c r="BK546" s="43">
        <f t="shared" si="461"/>
        <v>7.9714150526470053</v>
      </c>
      <c r="BL546">
        <f t="shared" si="509"/>
        <v>-13.329084466662412</v>
      </c>
      <c r="BM546" s="43">
        <f t="shared" si="510"/>
        <v>-148.79862106292177</v>
      </c>
    </row>
    <row r="547" spans="14:65" x14ac:dyDescent="0.25">
      <c r="N547" s="9">
        <v>29</v>
      </c>
      <c r="O547" s="34">
        <f t="shared" si="462"/>
        <v>1949844.5997580495</v>
      </c>
      <c r="P547" s="33" t="str">
        <f t="shared" si="463"/>
        <v>54,631621870174</v>
      </c>
      <c r="Q547" s="4" t="str">
        <f t="shared" si="464"/>
        <v>1+48828,8299868811i</v>
      </c>
      <c r="R547" s="4">
        <f t="shared" si="476"/>
        <v>48828.829997120956</v>
      </c>
      <c r="S547" s="4">
        <f t="shared" si="477"/>
        <v>1.5707758470905882</v>
      </c>
      <c r="T547" s="4" t="str">
        <f t="shared" si="465"/>
        <v>1+612,56174702416i</v>
      </c>
      <c r="U547" s="4">
        <f t="shared" si="478"/>
        <v>612.56256326786001</v>
      </c>
      <c r="V547" s="4">
        <f t="shared" si="479"/>
        <v>1.5691638397574348</v>
      </c>
      <c r="W547" t="str">
        <f t="shared" si="466"/>
        <v>1-48,7518150730798i</v>
      </c>
      <c r="X547" s="4">
        <f t="shared" si="480"/>
        <v>48.762070022916078</v>
      </c>
      <c r="Y547" s="4">
        <f t="shared" si="481"/>
        <v>-1.5502871460446486</v>
      </c>
      <c r="Z547" t="str">
        <f t="shared" si="467"/>
        <v>-14,2075758528224+6,69810508428287i</v>
      </c>
      <c r="AA547" s="4">
        <f t="shared" si="482"/>
        <v>15.707317509167444</v>
      </c>
      <c r="AB547" s="4">
        <f t="shared" si="483"/>
        <v>2.7010480375400361</v>
      </c>
      <c r="AC547" s="47" t="str">
        <f t="shared" si="484"/>
        <v>-0,943497803792296+1,90700494435194i</v>
      </c>
      <c r="AD547" s="20">
        <f t="shared" si="485"/>
        <v>6.5579667624180278</v>
      </c>
      <c r="AE547" s="43">
        <f t="shared" si="486"/>
        <v>116.32407546838873</v>
      </c>
      <c r="AF547" t="str">
        <f t="shared" si="468"/>
        <v>171,265703090588</v>
      </c>
      <c r="AG547" t="str">
        <f t="shared" si="469"/>
        <v>1+48361,5372325063i</v>
      </c>
      <c r="AH547">
        <f t="shared" si="487"/>
        <v>48361.537242845101</v>
      </c>
      <c r="AI547">
        <f t="shared" si="488"/>
        <v>1.570775649205699</v>
      </c>
      <c r="AJ547" t="str">
        <f t="shared" si="470"/>
        <v>1+612,56174702416i</v>
      </c>
      <c r="AK547">
        <f t="shared" si="489"/>
        <v>612.56256326786001</v>
      </c>
      <c r="AL547">
        <f t="shared" si="490"/>
        <v>1.5691638397574348</v>
      </c>
      <c r="AM547" t="str">
        <f t="shared" si="471"/>
        <v>1-15,4023825259807i</v>
      </c>
      <c r="AN547">
        <f t="shared" si="491"/>
        <v>15.434810898635448</v>
      </c>
      <c r="AO547">
        <f t="shared" si="492"/>
        <v>-1.5059623015887906</v>
      </c>
      <c r="AP547" s="41" t="str">
        <f t="shared" si="493"/>
        <v>2,11544835424202-33,4159292106273i</v>
      </c>
      <c r="AQ547">
        <f t="shared" si="494"/>
        <v>30.496441382495576</v>
      </c>
      <c r="AR547" s="43">
        <f t="shared" si="495"/>
        <v>-86.377633865610207</v>
      </c>
      <c r="AS547" t="str">
        <f t="shared" si="472"/>
        <v>-0,0000166666666666667</v>
      </c>
      <c r="AT547" t="str">
        <f t="shared" si="473"/>
        <v>0,0406005925927614i</v>
      </c>
      <c r="AU547">
        <f t="shared" si="496"/>
        <v>4.06005925927614E-2</v>
      </c>
      <c r="AV547">
        <f t="shared" si="497"/>
        <v>1.5707963267948966</v>
      </c>
      <c r="AW547" t="str">
        <f t="shared" si="474"/>
        <v>1+13,6634171213114i</v>
      </c>
      <c r="AX547">
        <f t="shared" si="498"/>
        <v>13.69996231494618</v>
      </c>
      <c r="AY547">
        <f t="shared" si="499"/>
        <v>1.4977384521268986</v>
      </c>
      <c r="AZ547" t="str">
        <f t="shared" si="475"/>
        <v>1+3234,32602428756i</v>
      </c>
      <c r="BA547">
        <f t="shared" si="500"/>
        <v>3234.3261788792688</v>
      </c>
      <c r="BB547">
        <f t="shared" si="501"/>
        <v>1.5704871433790548</v>
      </c>
      <c r="BC547" s="41" t="str">
        <f t="shared" si="502"/>
        <v>-0,00704405702523715+0,0966563924016644i</v>
      </c>
      <c r="BD547">
        <f t="shared" si="503"/>
        <v>-20.272383587306049</v>
      </c>
      <c r="BE547" s="43">
        <f t="shared" si="504"/>
        <v>94.168192973848846</v>
      </c>
      <c r="BF547" s="41" t="str">
        <f t="shared" si="505"/>
        <v>-0,177678165880096-0,104628145528881i</v>
      </c>
      <c r="BG547" s="20">
        <f t="shared" si="506"/>
        <v>-13.714416824888033</v>
      </c>
      <c r="BH547" s="43">
        <f t="shared" si="507"/>
        <v>-149.50773155776236</v>
      </c>
      <c r="BI547" s="41" t="str">
        <f t="shared" si="460"/>
        <v>3,21496182740741+0,439855317144018i</v>
      </c>
      <c r="BJ547" s="20">
        <f t="shared" si="508"/>
        <v>10.22405779518953</v>
      </c>
      <c r="BK547" s="43">
        <f t="shared" si="461"/>
        <v>7.790559108238635</v>
      </c>
      <c r="BL547">
        <f t="shared" si="509"/>
        <v>-13.714416824888033</v>
      </c>
      <c r="BM547" s="43">
        <f t="shared" si="510"/>
        <v>-149.50773155776236</v>
      </c>
    </row>
    <row r="548" spans="14:65" x14ac:dyDescent="0.25">
      <c r="N548" s="9">
        <v>30</v>
      </c>
      <c r="O548" s="34">
        <f t="shared" si="462"/>
        <v>1995262.31496888</v>
      </c>
      <c r="P548" s="33" t="str">
        <f t="shared" si="463"/>
        <v>54,631621870174</v>
      </c>
      <c r="Q548" s="4" t="str">
        <f t="shared" si="464"/>
        <v>1+49966,1995468438i</v>
      </c>
      <c r="R548" s="4">
        <f t="shared" si="476"/>
        <v>49966.199556850566</v>
      </c>
      <c r="S548" s="4">
        <f t="shared" si="477"/>
        <v>1.5707763132655721</v>
      </c>
      <c r="T548" s="4" t="str">
        <f t="shared" si="465"/>
        <v>1+626,83014306908i</v>
      </c>
      <c r="U548" s="4">
        <f t="shared" si="478"/>
        <v>626.83094073282894</v>
      </c>
      <c r="V548" s="4">
        <f t="shared" si="479"/>
        <v>1.5692009996353771</v>
      </c>
      <c r="W548" t="str">
        <f t="shared" si="466"/>
        <v>1-49,8873907252498i</v>
      </c>
      <c r="X548" s="4">
        <f t="shared" si="480"/>
        <v>49.897412291357753</v>
      </c>
      <c r="Y548" s="4">
        <f t="shared" si="481"/>
        <v>-1.5507538655277573</v>
      </c>
      <c r="Z548" t="str">
        <f t="shared" si="467"/>
        <v>-14,9242868221399+6,85412399430676i</v>
      </c>
      <c r="AA548" s="4">
        <f t="shared" si="482"/>
        <v>16.422952014751498</v>
      </c>
      <c r="AB548" s="4">
        <f t="shared" si="483"/>
        <v>2.7110650668310496</v>
      </c>
      <c r="AC548" s="47" t="str">
        <f t="shared" si="484"/>
        <v>-0,903846941177714+1,87591790056838i</v>
      </c>
      <c r="AD548" s="20">
        <f t="shared" si="485"/>
        <v>6.3709000096788913</v>
      </c>
      <c r="AE548" s="43">
        <f t="shared" si="486"/>
        <v>115.72550330447031</v>
      </c>
      <c r="AF548" t="str">
        <f t="shared" si="468"/>
        <v>171,265703090588</v>
      </c>
      <c r="AG548" t="str">
        <f t="shared" si="469"/>
        <v>1+49488,0221459486i</v>
      </c>
      <c r="AH548">
        <f t="shared" si="487"/>
        <v>49488.022156052051</v>
      </c>
      <c r="AI548">
        <f t="shared" si="488"/>
        <v>1.5707761198850929</v>
      </c>
      <c r="AJ548" t="str">
        <f t="shared" si="470"/>
        <v>1+626,83014306908i</v>
      </c>
      <c r="AK548">
        <f t="shared" si="489"/>
        <v>626.83094073282894</v>
      </c>
      <c r="AL548">
        <f t="shared" si="490"/>
        <v>1.5692009996353771</v>
      </c>
      <c r="AM548" t="str">
        <f t="shared" si="471"/>
        <v>1-15,7611501032636i</v>
      </c>
      <c r="AN548">
        <f t="shared" si="491"/>
        <v>15.79284181449324</v>
      </c>
      <c r="AO548">
        <f t="shared" si="492"/>
        <v>-1.5074341115782814</v>
      </c>
      <c r="AP548" s="41" t="str">
        <f t="shared" si="493"/>
        <v>2,11544835098698-34,1941251062215i</v>
      </c>
      <c r="AQ548">
        <f t="shared" si="494"/>
        <v>30.69562030840881</v>
      </c>
      <c r="AR548" s="43">
        <f t="shared" si="495"/>
        <v>-86.459860230022642</v>
      </c>
      <c r="AS548" t="str">
        <f t="shared" si="472"/>
        <v>-0,0000166666666666667</v>
      </c>
      <c r="AT548" t="str">
        <f t="shared" si="473"/>
        <v>0,0415463018826186i</v>
      </c>
      <c r="AU548">
        <f t="shared" si="496"/>
        <v>4.1546301882618597E-2</v>
      </c>
      <c r="AV548">
        <f t="shared" si="497"/>
        <v>1.5707963267948966</v>
      </c>
      <c r="AW548" t="str">
        <f t="shared" si="474"/>
        <v>1+13,9816789908468i</v>
      </c>
      <c r="AX548">
        <f t="shared" si="498"/>
        <v>14.017394458425104</v>
      </c>
      <c r="AY548">
        <f t="shared" si="499"/>
        <v>1.4993957407194318</v>
      </c>
      <c r="AZ548" t="str">
        <f t="shared" si="475"/>
        <v>1+3309,66315540474i</v>
      </c>
      <c r="BA548">
        <f t="shared" si="500"/>
        <v>3309.6633064775119</v>
      </c>
      <c r="BB548">
        <f t="shared" si="501"/>
        <v>1.5704941812524005</v>
      </c>
      <c r="BC548" s="41" t="str">
        <f t="shared" si="502"/>
        <v>-0,00672863574711118+0,0944787839120042i</v>
      </c>
      <c r="BD548">
        <f t="shared" si="503"/>
        <v>-20.471342052202694</v>
      </c>
      <c r="BE548" s="43">
        <f t="shared" si="504"/>
        <v>94.073640572500963</v>
      </c>
      <c r="BF548" s="41" t="str">
        <f t="shared" si="505"/>
        <v>-0,171152785126135-0,0980167280894654i</v>
      </c>
      <c r="BG548" s="20">
        <f t="shared" si="506"/>
        <v>-14.100442042523806</v>
      </c>
      <c r="BH548" s="43">
        <f t="shared" si="507"/>
        <v>-150.20085612302867</v>
      </c>
      <c r="BI548" s="41" t="str">
        <f t="shared" si="460"/>
        <v>3,21638527557512+0,429944800160818i</v>
      </c>
      <c r="BJ548" s="20">
        <f t="shared" si="508"/>
        <v>10.224278256206116</v>
      </c>
      <c r="BK548" s="43">
        <f t="shared" si="461"/>
        <v>7.6137803424783161</v>
      </c>
      <c r="BL548">
        <f t="shared" si="509"/>
        <v>-14.100442042523806</v>
      </c>
      <c r="BM548" s="43">
        <f t="shared" si="510"/>
        <v>-150.20085612302867</v>
      </c>
    </row>
    <row r="549" spans="14:65" x14ac:dyDescent="0.25">
      <c r="N549" s="9">
        <v>31</v>
      </c>
      <c r="O549" s="34">
        <f t="shared" si="462"/>
        <v>2041737.9446695296</v>
      </c>
      <c r="P549" s="33" t="str">
        <f t="shared" si="463"/>
        <v>54,631621870174</v>
      </c>
      <c r="Q549" s="4" t="str">
        <f t="shared" si="464"/>
        <v>1+51130,0618471869i</v>
      </c>
      <c r="R549" s="4">
        <f t="shared" si="476"/>
        <v>51130.061856965884</v>
      </c>
      <c r="S549" s="4">
        <f t="shared" si="477"/>
        <v>1.5707767688291179</v>
      </c>
      <c r="T549" s="4" t="str">
        <f t="shared" si="465"/>
        <v>1+641,43089275293i</v>
      </c>
      <c r="U549" s="4">
        <f t="shared" si="478"/>
        <v>641.4316722596576</v>
      </c>
      <c r="V549" s="4">
        <f t="shared" si="479"/>
        <v>1.5692373136554858</v>
      </c>
      <c r="W549" t="str">
        <f t="shared" si="466"/>
        <v>1-51,0494173323199i</v>
      </c>
      <c r="X549" s="4">
        <f t="shared" si="480"/>
        <v>51.059210823996906</v>
      </c>
      <c r="Y549" s="4">
        <f t="shared" si="481"/>
        <v>-1.5512099696168828</v>
      </c>
      <c r="Z549" t="str">
        <f t="shared" si="467"/>
        <v>-15,6747753388133+7,01377705159746i</v>
      </c>
      <c r="AA549" s="4">
        <f t="shared" si="482"/>
        <v>17.172409570348147</v>
      </c>
      <c r="AB549" s="4">
        <f t="shared" si="483"/>
        <v>2.7208560788557494</v>
      </c>
      <c r="AC549" s="47" t="str">
        <f t="shared" si="484"/>
        <v>-0,86573485244286+1,84475527536684i</v>
      </c>
      <c r="AD549" s="20">
        <f t="shared" si="485"/>
        <v>6.1832207214559443</v>
      </c>
      <c r="AE549" s="43">
        <f t="shared" si="486"/>
        <v>115.14044133718846</v>
      </c>
      <c r="AF549" t="str">
        <f t="shared" si="468"/>
        <v>171,265703090588</v>
      </c>
      <c r="AG549" t="str">
        <f t="shared" si="469"/>
        <v>1+50640,7462637838i</v>
      </c>
      <c r="AH549">
        <f t="shared" si="487"/>
        <v>50640.746273657278</v>
      </c>
      <c r="AI549">
        <f t="shared" si="488"/>
        <v>1.5707765798505158</v>
      </c>
      <c r="AJ549" t="str">
        <f t="shared" si="470"/>
        <v>1+641,43089275293i</v>
      </c>
      <c r="AK549">
        <f t="shared" si="489"/>
        <v>641.4316722596576</v>
      </c>
      <c r="AL549">
        <f t="shared" si="490"/>
        <v>1.5692373136554858</v>
      </c>
      <c r="AM549" t="str">
        <f t="shared" si="471"/>
        <v>1-16,1282744509546i</v>
      </c>
      <c r="AN549">
        <f t="shared" si="491"/>
        <v>16.159246169463319</v>
      </c>
      <c r="AO549">
        <f t="shared" si="492"/>
        <v>-1.5088726847449632</v>
      </c>
      <c r="AP549" s="41" t="str">
        <f t="shared" si="493"/>
        <v>2,11544834787844-34,9904511795598i</v>
      </c>
      <c r="AQ549">
        <f t="shared" si="494"/>
        <v>30.894836043991539</v>
      </c>
      <c r="AR549" s="43">
        <f t="shared" si="495"/>
        <v>-86.540230114982378</v>
      </c>
      <c r="AS549" t="str">
        <f t="shared" si="472"/>
        <v>-0,0000166666666666667</v>
      </c>
      <c r="AT549" t="str">
        <f t="shared" si="473"/>
        <v>0,0425140395716643i</v>
      </c>
      <c r="AU549">
        <f t="shared" si="496"/>
        <v>4.2514039571664303E-2</v>
      </c>
      <c r="AV549">
        <f t="shared" si="497"/>
        <v>1.5707963267948966</v>
      </c>
      <c r="AW549" t="str">
        <f t="shared" si="474"/>
        <v>1+14,3073541316526i</v>
      </c>
      <c r="AX549">
        <f t="shared" si="498"/>
        <v>14.342258617404607</v>
      </c>
      <c r="AY549">
        <f t="shared" si="499"/>
        <v>1.5010156845467035</v>
      </c>
      <c r="AZ549" t="str">
        <f t="shared" si="475"/>
        <v>1+3386,75511373547i</v>
      </c>
      <c r="BA549">
        <f t="shared" si="500"/>
        <v>3386.7552613694061</v>
      </c>
      <c r="BB549">
        <f t="shared" si="501"/>
        <v>1.570501058924219</v>
      </c>
      <c r="BC549" s="41" t="str">
        <f t="shared" si="502"/>
        <v>-0,00642726948360346+0,0923492479607837i</v>
      </c>
      <c r="BD549">
        <f t="shared" si="503"/>
        <v>-20.670347160665155</v>
      </c>
      <c r="BE549" s="43">
        <f t="shared" si="504"/>
        <v>93.981218689718105</v>
      </c>
      <c r="BF549" s="41" t="str">
        <f t="shared" si="505"/>
        <v>-0,164797451153818-0,09180670184262i</v>
      </c>
      <c r="BG549" s="20">
        <f t="shared" si="506"/>
        <v>-14.487126439209216</v>
      </c>
      <c r="BH549" s="43">
        <f t="shared" si="507"/>
        <v>-150.87833997309338</v>
      </c>
      <c r="BI549" s="41" t="str">
        <f t="shared" si="460"/>
        <v>3,21774529563041+0,420253123110358i</v>
      </c>
      <c r="BJ549" s="20">
        <f t="shared" si="508"/>
        <v>10.224488883326394</v>
      </c>
      <c r="BK549" s="43">
        <f t="shared" si="461"/>
        <v>7.4409885747357274</v>
      </c>
      <c r="BL549">
        <f t="shared" si="509"/>
        <v>-14.487126439209216</v>
      </c>
      <c r="BM549" s="43">
        <f t="shared" si="510"/>
        <v>-150.87833997309338</v>
      </c>
    </row>
    <row r="550" spans="14:65" x14ac:dyDescent="0.25">
      <c r="N550" s="9">
        <v>32</v>
      </c>
      <c r="O550" s="34">
        <f t="shared" si="462"/>
        <v>2089296.1308540432</v>
      </c>
      <c r="P550" s="33" t="str">
        <f t="shared" si="463"/>
        <v>54,631621870174</v>
      </c>
      <c r="Q550" s="4" t="str">
        <f t="shared" si="464"/>
        <v>1+52321,0339831082i</v>
      </c>
      <c r="R550" s="4">
        <f t="shared" si="476"/>
        <v>52321.03399266459</v>
      </c>
      <c r="S550" s="4">
        <f t="shared" si="477"/>
        <v>1.5707772140227714</v>
      </c>
      <c r="T550" s="4" t="str">
        <f t="shared" si="465"/>
        <v>1+656,371737586465i</v>
      </c>
      <c r="U550" s="4">
        <f t="shared" si="478"/>
        <v>656.37249934947408</v>
      </c>
      <c r="V550" s="4">
        <f t="shared" si="479"/>
        <v>1.5692728010715515</v>
      </c>
      <c r="W550" t="str">
        <f t="shared" si="466"/>
        <v>1-52,2385110161789i</v>
      </c>
      <c r="X550" s="4">
        <f t="shared" si="480"/>
        <v>52.248081622079141</v>
      </c>
      <c r="Y550" s="4">
        <f t="shared" si="481"/>
        <v>-1.5516556993849457</v>
      </c>
      <c r="Z550" t="str">
        <f t="shared" si="467"/>
        <v>-16,4606332896068+7,17714890631929i</v>
      </c>
      <c r="AA550" s="4">
        <f t="shared" si="482"/>
        <v>17.957280270642094</v>
      </c>
      <c r="AB550" s="4">
        <f t="shared" si="483"/>
        <v>2.7304259545624419</v>
      </c>
      <c r="AC550" s="47" t="str">
        <f t="shared" si="484"/>
        <v>-0,829113593190937+1,81356662442551i</v>
      </c>
      <c r="AD550" s="20">
        <f t="shared" si="485"/>
        <v>5.9949588112491581</v>
      </c>
      <c r="AE550" s="43">
        <f t="shared" si="486"/>
        <v>114.56859718566584</v>
      </c>
      <c r="AF550" t="str">
        <f t="shared" si="468"/>
        <v>171,265703090588</v>
      </c>
      <c r="AG550" t="str">
        <f t="shared" si="469"/>
        <v>1+51820,320775598i</v>
      </c>
      <c r="AH550">
        <f t="shared" si="487"/>
        <v>51820.320785246717</v>
      </c>
      <c r="AI550">
        <f t="shared" si="488"/>
        <v>1.5707770293458474</v>
      </c>
      <c r="AJ550" t="str">
        <f t="shared" si="470"/>
        <v>1+656,371737586465i</v>
      </c>
      <c r="AK550">
        <f t="shared" si="489"/>
        <v>656.37249934947408</v>
      </c>
      <c r="AL550">
        <f t="shared" si="490"/>
        <v>1.5692728010715515</v>
      </c>
      <c r="AM550" t="str">
        <f t="shared" si="471"/>
        <v>1-16,5039502232427i</v>
      </c>
      <c r="AN550">
        <f t="shared" si="491"/>
        <v>16.534218244938973</v>
      </c>
      <c r="AO550">
        <f t="shared" si="492"/>
        <v>-1.5102787600090024</v>
      </c>
      <c r="AP550" s="41" t="str">
        <f t="shared" si="493"/>
        <v>2,11544834490981-35,8053296532675i</v>
      </c>
      <c r="AQ550">
        <f t="shared" si="494"/>
        <v>31.09408694522476</v>
      </c>
      <c r="AR550" s="43">
        <f t="shared" si="495"/>
        <v>-86.618784768308586</v>
      </c>
      <c r="AS550" t="str">
        <f t="shared" si="472"/>
        <v>-0,0000166666666666667</v>
      </c>
      <c r="AT550" t="str">
        <f t="shared" si="473"/>
        <v>0,0435043187672308i</v>
      </c>
      <c r="AU550">
        <f t="shared" si="496"/>
        <v>4.35043187672308E-2</v>
      </c>
      <c r="AV550">
        <f t="shared" si="497"/>
        <v>1.5707963267948966</v>
      </c>
      <c r="AW550" t="str">
        <f t="shared" si="474"/>
        <v>1+14,6406152209992i</v>
      </c>
      <c r="AX550">
        <f t="shared" si="498"/>
        <v>14.674727051954097</v>
      </c>
      <c r="AY550">
        <f t="shared" si="499"/>
        <v>1.5025991084965957</v>
      </c>
      <c r="AZ550" t="str">
        <f t="shared" si="475"/>
        <v>1+3465,64277445653i</v>
      </c>
      <c r="BA550">
        <f t="shared" si="500"/>
        <v>3465.6429187299077</v>
      </c>
      <c r="BB550">
        <f t="shared" si="501"/>
        <v>1.5705077800411407</v>
      </c>
      <c r="BC550" s="41" t="str">
        <f t="shared" si="502"/>
        <v>-0,00613933799744105+0,0902667890593399i</v>
      </c>
      <c r="BD550">
        <f t="shared" si="503"/>
        <v>-20.869396833811699</v>
      </c>
      <c r="BE550" s="43">
        <f t="shared" si="504"/>
        <v>93.89088027184259</v>
      </c>
      <c r="BF550" s="41" t="str">
        <f t="shared" si="505"/>
        <v>-0,158614627345205-0,0859755203110241i</v>
      </c>
      <c r="BG550" s="20">
        <f t="shared" si="506"/>
        <v>-14.874438022562524</v>
      </c>
      <c r="BH550" s="43">
        <f t="shared" si="507"/>
        <v>-151.54052254249163</v>
      </c>
      <c r="BI550" s="41" t="str">
        <f t="shared" si="460"/>
        <v>3,2190446866061+0,410775750367111i</v>
      </c>
      <c r="BJ550" s="20">
        <f t="shared" si="508"/>
        <v>10.224690111413071</v>
      </c>
      <c r="BK550" s="43">
        <f t="shared" si="461"/>
        <v>7.2720955035339951</v>
      </c>
      <c r="BL550">
        <f t="shared" si="509"/>
        <v>-14.874438022562524</v>
      </c>
      <c r="BM550" s="43">
        <f t="shared" si="510"/>
        <v>-151.54052254249163</v>
      </c>
    </row>
    <row r="551" spans="14:65" x14ac:dyDescent="0.25">
      <c r="N551" s="9">
        <v>33</v>
      </c>
      <c r="O551" s="34">
        <f t="shared" si="462"/>
        <v>2137962.0895022359</v>
      </c>
      <c r="P551" s="33" t="str">
        <f t="shared" si="463"/>
        <v>54,631621870174</v>
      </c>
      <c r="Q551" s="4" t="str">
        <f t="shared" si="464"/>
        <v>1+53539,7474237977i</v>
      </c>
      <c r="R551" s="4">
        <f t="shared" si="476"/>
        <v>53539.747433136559</v>
      </c>
      <c r="S551" s="4">
        <f t="shared" si="477"/>
        <v>1.57077764908258</v>
      </c>
      <c r="T551" s="4" t="str">
        <f t="shared" si="465"/>
        <v>1+671,66059940337i</v>
      </c>
      <c r="U551" s="4">
        <f t="shared" si="478"/>
        <v>671.66134382655548</v>
      </c>
      <c r="V551" s="4">
        <f t="shared" si="479"/>
        <v>1.5693074806991145</v>
      </c>
      <c r="W551" t="str">
        <f t="shared" si="466"/>
        <v>1-53,4553022500367i</v>
      </c>
      <c r="X551" s="4">
        <f t="shared" si="480"/>
        <v>53.464655040903224</v>
      </c>
      <c r="Y551" s="4">
        <f t="shared" si="481"/>
        <v>-1.5520912904549191</v>
      </c>
      <c r="Z551" t="str">
        <f t="shared" si="467"/>
        <v>-17,2835275845951+7,34432618039199i</v>
      </c>
      <c r="AA551" s="4">
        <f t="shared" si="482"/>
        <v>18.779229292264656</v>
      </c>
      <c r="AB551" s="4">
        <f t="shared" si="483"/>
        <v>2.7397794945468341</v>
      </c>
      <c r="AC551" s="47" t="str">
        <f t="shared" si="484"/>
        <v>-0,793935556832597+1,78239768746009i</v>
      </c>
      <c r="AD551" s="20">
        <f t="shared" si="485"/>
        <v>5.8061426816263673</v>
      </c>
      <c r="AE551" s="43">
        <f t="shared" si="486"/>
        <v>114.00968336035392</v>
      </c>
      <c r="AF551" t="str">
        <f t="shared" si="468"/>
        <v>171,265703090588</v>
      </c>
      <c r="AG551" t="str">
        <f t="shared" si="469"/>
        <v>1+53027,3711074101i</v>
      </c>
      <c r="AH551">
        <f t="shared" si="487"/>
        <v>53027.371116839189</v>
      </c>
      <c r="AI551">
        <f t="shared" si="488"/>
        <v>1.5707774686094162</v>
      </c>
      <c r="AJ551" t="str">
        <f t="shared" si="470"/>
        <v>1+671,66059940337i</v>
      </c>
      <c r="AK551">
        <f t="shared" si="489"/>
        <v>671.66134382655548</v>
      </c>
      <c r="AL551">
        <f t="shared" si="490"/>
        <v>1.5693074806991145</v>
      </c>
      <c r="AM551" t="str">
        <f t="shared" si="471"/>
        <v>1-16,8883766083946i</v>
      </c>
      <c r="AN551">
        <f t="shared" si="491"/>
        <v>16.91795686443756</v>
      </c>
      <c r="AO551">
        <f t="shared" si="492"/>
        <v>-1.5116530606385348</v>
      </c>
      <c r="AP551" s="41" t="str">
        <f t="shared" si="493"/>
        <v>2,1154483420748-36,6391925866964i</v>
      </c>
      <c r="AQ551">
        <f t="shared" si="494"/>
        <v>31.293371440971768</v>
      </c>
      <c r="AR551" s="43">
        <f t="shared" si="495"/>
        <v>-86.695564565817079</v>
      </c>
      <c r="AS551" t="str">
        <f t="shared" si="472"/>
        <v>-0,0000166666666666667</v>
      </c>
      <c r="AT551" t="str">
        <f t="shared" si="473"/>
        <v>0,0445176645284554i</v>
      </c>
      <c r="AU551">
        <f t="shared" si="496"/>
        <v>4.4517664528455403E-2</v>
      </c>
      <c r="AV551">
        <f t="shared" si="497"/>
        <v>1.5707963267948966</v>
      </c>
      <c r="AW551" t="str">
        <f t="shared" si="474"/>
        <v>1+14,9816389583274i</v>
      </c>
      <c r="AX551">
        <f t="shared" si="498"/>
        <v>15.01497605318348</v>
      </c>
      <c r="AY551">
        <f t="shared" si="499"/>
        <v>1.5041468203435155</v>
      </c>
      <c r="AZ551" t="str">
        <f t="shared" si="475"/>
        <v>1+3546,36796484979i</v>
      </c>
      <c r="BA551">
        <f t="shared" si="500"/>
        <v>3546.3681058391053</v>
      </c>
      <c r="BB551">
        <f t="shared" si="501"/>
        <v>1.5705143481667883</v>
      </c>
      <c r="BC551" s="41" t="str">
        <f t="shared" si="502"/>
        <v>-0,0058642478919817+0,088230427901456i</v>
      </c>
      <c r="BD551">
        <f t="shared" si="503"/>
        <v>-21.068489084541305</v>
      </c>
      <c r="BE551" s="43">
        <f t="shared" si="504"/>
        <v>93.802579240990596</v>
      </c>
      <c r="BF551" s="41" t="str">
        <f t="shared" si="505"/>
        <v>-0,152605875739644-0,0805016957868817i</v>
      </c>
      <c r="BG551" s="20">
        <f t="shared" si="506"/>
        <v>-15.262346402914957</v>
      </c>
      <c r="BH551" s="43">
        <f t="shared" si="507"/>
        <v>-152.1877373986554</v>
      </c>
      <c r="BI551" s="41" t="str">
        <f t="shared" si="460"/>
        <v>3,22028612640747+0,401508220315131i</v>
      </c>
      <c r="BJ551" s="20">
        <f t="shared" si="508"/>
        <v>10.224882356430467</v>
      </c>
      <c r="BK551" s="43">
        <f t="shared" si="461"/>
        <v>7.107014675173513</v>
      </c>
      <c r="BL551">
        <f t="shared" si="509"/>
        <v>-15.262346402914957</v>
      </c>
      <c r="BM551" s="43">
        <f t="shared" si="510"/>
        <v>-152.1877373986554</v>
      </c>
    </row>
    <row r="552" spans="14:65" x14ac:dyDescent="0.25">
      <c r="N552" s="9">
        <v>34</v>
      </c>
      <c r="O552" s="34">
        <f t="shared" si="462"/>
        <v>2187761.6239495561</v>
      </c>
      <c r="P552" s="33" t="str">
        <f t="shared" si="463"/>
        <v>54,631621870174</v>
      </c>
      <c r="Q552" s="4" t="str">
        <f t="shared" si="464"/>
        <v>1+54786,8483472538i</v>
      </c>
      <c r="R552" s="4">
        <f t="shared" si="476"/>
        <v>54786.848356380076</v>
      </c>
      <c r="S552" s="4">
        <f t="shared" si="477"/>
        <v>1.5707780742392186</v>
      </c>
      <c r="T552" s="4" t="str">
        <f t="shared" si="465"/>
        <v>1+687,30558456056i</v>
      </c>
      <c r="U552" s="4">
        <f t="shared" si="478"/>
        <v>687.3063120386231</v>
      </c>
      <c r="V552" s="4">
        <f t="shared" si="479"/>
        <v>1.5693413709254385</v>
      </c>
      <c r="W552" t="str">
        <f t="shared" si="466"/>
        <v>1-54,7004361927122i</v>
      </c>
      <c r="X552" s="4">
        <f t="shared" si="480"/>
        <v>54.709576124047786</v>
      </c>
      <c r="Y552" s="4">
        <f t="shared" si="481"/>
        <v>-1.5525169731213841</v>
      </c>
      <c r="Z552" t="str">
        <f t="shared" si="467"/>
        <v>-18,1452036929056+7,5153975134192i</v>
      </c>
      <c r="AA552" s="4">
        <f t="shared" si="482"/>
        <v>19.640000428761262</v>
      </c>
      <c r="AB552" s="4">
        <f t="shared" si="483"/>
        <v>2.7489214175539374</v>
      </c>
      <c r="AC552" s="47" t="str">
        <f t="shared" si="484"/>
        <v>-0,760153610196304+1,75129059710184i</v>
      </c>
      <c r="AD552" s="20">
        <f t="shared" si="485"/>
        <v>5.6167993015626392</v>
      </c>
      <c r="AE552" s="43">
        <f t="shared" si="486"/>
        <v>113.46341734246712</v>
      </c>
      <c r="AF552" t="str">
        <f t="shared" si="468"/>
        <v>171,265703090588</v>
      </c>
      <c r="AG552" t="str">
        <f t="shared" si="469"/>
        <v>1+54262,5372532837i</v>
      </c>
      <c r="AH552">
        <f t="shared" si="487"/>
        <v>54262.537262498161</v>
      </c>
      <c r="AI552">
        <f t="shared" si="488"/>
        <v>1.5707778978741254</v>
      </c>
      <c r="AJ552" t="str">
        <f t="shared" si="470"/>
        <v>1+687,30558456056i</v>
      </c>
      <c r="AK552">
        <f t="shared" si="489"/>
        <v>687.3063120386231</v>
      </c>
      <c r="AL552">
        <f t="shared" si="490"/>
        <v>1.5693413709254385</v>
      </c>
      <c r="AM552" t="str">
        <f t="shared" si="471"/>
        <v>1-17,2817574343684i</v>
      </c>
      <c r="AN552">
        <f t="shared" si="491"/>
        <v>17.31066549906004</v>
      </c>
      <c r="AO552">
        <f t="shared" si="492"/>
        <v>-1.5129962945290558</v>
      </c>
      <c r="AP552" s="41" t="str">
        <f t="shared" si="493"/>
        <v>2,11544833936737-37,4924821050119i</v>
      </c>
      <c r="AQ552">
        <f t="shared" si="494"/>
        <v>31.492688029795616</v>
      </c>
      <c r="AR552" s="43">
        <f t="shared" si="495"/>
        <v>-86.770609026763893</v>
      </c>
      <c r="AS552" t="str">
        <f t="shared" si="472"/>
        <v>-0,0000166666666666667</v>
      </c>
      <c r="AT552" t="str">
        <f t="shared" si="473"/>
        <v>0,0455546141446739i</v>
      </c>
      <c r="AU552">
        <f t="shared" si="496"/>
        <v>4.5554614144673898E-2</v>
      </c>
      <c r="AV552">
        <f t="shared" si="497"/>
        <v>1.5707963267948966</v>
      </c>
      <c r="AW552" t="str">
        <f t="shared" si="474"/>
        <v>1+15,3306061589368i</v>
      </c>
      <c r="AX552">
        <f t="shared" si="498"/>
        <v>15.363186036770852</v>
      </c>
      <c r="AY552">
        <f t="shared" si="499"/>
        <v>1.5056596110288278</v>
      </c>
      <c r="AZ552" t="str">
        <f t="shared" si="475"/>
        <v>1+3628,97348647975i</v>
      </c>
      <c r="BA552">
        <f t="shared" si="500"/>
        <v>3628.9736242597569</v>
      </c>
      <c r="BB552">
        <f t="shared" si="501"/>
        <v>1.5705207667836663</v>
      </c>
      <c r="BC552" s="41" t="str">
        <f t="shared" si="502"/>
        <v>-0,00560143149628849+0,0862392014149643i</v>
      </c>
      <c r="BD552">
        <f t="shared" si="503"/>
        <v>-21.267622013557876</v>
      </c>
      <c r="BE552" s="43">
        <f t="shared" si="504"/>
        <v>93.716270479092913</v>
      </c>
      <c r="BF552" s="41" t="str">
        <f t="shared" si="505"/>
        <v>-0,146771954165428-0,0753647746057914i</v>
      </c>
      <c r="BG552" s="20">
        <f t="shared" si="506"/>
        <v>-15.65082271199522</v>
      </c>
      <c r="BH552" s="43">
        <f t="shared" si="507"/>
        <v>-152.82031217844002</v>
      </c>
      <c r="BI552" s="41" t="str">
        <f t="shared" si="460"/>
        <v>3,22147217684416+0,392446145558701i</v>
      </c>
      <c r="BJ552" s="20">
        <f t="shared" si="508"/>
        <v>10.22506601623774</v>
      </c>
      <c r="BK552" s="43">
        <f t="shared" si="461"/>
        <v>6.9456614523290341</v>
      </c>
      <c r="BL552">
        <f t="shared" si="509"/>
        <v>-15.65082271199522</v>
      </c>
      <c r="BM552" s="43">
        <f t="shared" si="510"/>
        <v>-152.82031217844002</v>
      </c>
    </row>
    <row r="553" spans="14:65" x14ac:dyDescent="0.25">
      <c r="N553" s="9">
        <v>35</v>
      </c>
      <c r="O553" s="34">
        <f t="shared" si="462"/>
        <v>2238721.1385683389</v>
      </c>
      <c r="P553" s="33" t="str">
        <f t="shared" si="463"/>
        <v>54,631621870174</v>
      </c>
      <c r="Q553" s="4" t="str">
        <f t="shared" si="464"/>
        <v>1+56062,9979828929i</v>
      </c>
      <c r="R553" s="4">
        <f t="shared" si="476"/>
        <v>56062.99799181144</v>
      </c>
      <c r="S553" s="4">
        <f t="shared" si="477"/>
        <v>1.5707784897181103</v>
      </c>
      <c r="T553" s="4" t="str">
        <f t="shared" si="465"/>
        <v>1+703,314988236245i</v>
      </c>
      <c r="U553" s="4">
        <f t="shared" si="478"/>
        <v>703.31569915490263</v>
      </c>
      <c r="V553" s="4">
        <f t="shared" si="479"/>
        <v>1.5693744897192583</v>
      </c>
      <c r="W553" t="str">
        <f t="shared" si="466"/>
        <v>1-55,9745730307027i</v>
      </c>
      <c r="X553" s="4">
        <f t="shared" si="480"/>
        <v>55.983504945380744</v>
      </c>
      <c r="Y553" s="4">
        <f t="shared" si="481"/>
        <v>-1.5529329724694818</v>
      </c>
      <c r="Z553" t="str">
        <f t="shared" si="467"/>
        <v>-19,0474893450908+7,69045360968604i</v>
      </c>
      <c r="AA553" s="4">
        <f t="shared" si="482"/>
        <v>20.541419792070865</v>
      </c>
      <c r="AB553" s="4">
        <f t="shared" si="483"/>
        <v>2.7578563593520267</v>
      </c>
      <c r="AC553" s="47" t="str">
        <f t="shared" si="484"/>
        <v>-0,727721211301981+1,72028408135017i</v>
      </c>
      <c r="AD553" s="20">
        <f t="shared" si="485"/>
        <v>5.4269542801004969</v>
      </c>
      <c r="AE553" s="43">
        <f t="shared" si="486"/>
        <v>112.92952164223682</v>
      </c>
      <c r="AF553" t="str">
        <f t="shared" si="468"/>
        <v>171,265703090588</v>
      </c>
      <c r="AG553" t="str">
        <f t="shared" si="469"/>
        <v>1+55526,4741146583i</v>
      </c>
      <c r="AH553">
        <f t="shared" si="487"/>
        <v>55526.474123663014</v>
      </c>
      <c r="AI553">
        <f t="shared" si="488"/>
        <v>1.5707783173675769</v>
      </c>
      <c r="AJ553" t="str">
        <f t="shared" si="470"/>
        <v>1+703,314988236245i</v>
      </c>
      <c r="AK553">
        <f t="shared" si="489"/>
        <v>703.31569915490263</v>
      </c>
      <c r="AL553">
        <f t="shared" si="490"/>
        <v>1.5693744897192583</v>
      </c>
      <c r="AM553" t="str">
        <f t="shared" si="471"/>
        <v>1-17,684301276885i</v>
      </c>
      <c r="AN553">
        <f t="shared" si="491"/>
        <v>17.712552375409832</v>
      </c>
      <c r="AO553">
        <f t="shared" si="492"/>
        <v>-1.5143091544814586</v>
      </c>
      <c r="AP553" s="41" t="str">
        <f t="shared" si="493"/>
        <v>2,1154483367818-38,3656506336111i</v>
      </c>
      <c r="AQ553">
        <f>20*LOG(IMABS(AP553))</f>
        <v>31.692035276910037</v>
      </c>
      <c r="AR553" s="43">
        <f t="shared" si="495"/>
        <v>-86.843956829224197</v>
      </c>
      <c r="AS553" t="str">
        <f t="shared" si="472"/>
        <v>-0,0000166666666666667</v>
      </c>
      <c r="AT553" t="str">
        <f t="shared" si="473"/>
        <v>0,0466157174202985i</v>
      </c>
      <c r="AU553">
        <f t="shared" si="496"/>
        <v>4.6615717420298498E-2</v>
      </c>
      <c r="AV553">
        <f t="shared" si="497"/>
        <v>1.5707963267948966</v>
      </c>
      <c r="AW553" t="str">
        <f t="shared" si="474"/>
        <v>1+15,6877018498561i</v>
      </c>
      <c r="AX553">
        <f t="shared" si="498"/>
        <v>15.719541638673139</v>
      </c>
      <c r="AY553">
        <f t="shared" si="499"/>
        <v>1.5071382549419792</v>
      </c>
      <c r="AZ553" t="str">
        <f t="shared" si="475"/>
        <v>1+3713,50313788737i</v>
      </c>
      <c r="BA553">
        <f t="shared" si="500"/>
        <v>3713.5032725311212</v>
      </c>
      <c r="BB553">
        <f t="shared" si="501"/>
        <v>1.5705270392950086</v>
      </c>
      <c r="BC553" s="41" t="str">
        <f t="shared" si="502"/>
        <v>-0,00535034579237794+0,0842921627854675i</v>
      </c>
      <c r="BD553">
        <f t="shared" si="503"/>
        <v>-21.466793805560457</v>
      </c>
      <c r="BE553" s="43">
        <f t="shared" si="504"/>
        <v>93.631909811893479</v>
      </c>
      <c r="BF553" s="41" t="str">
        <f t="shared" si="505"/>
        <v>-0,141112905701503-0,0705453095018508i</v>
      </c>
      <c r="BG553" s="20">
        <f t="shared" si="506"/>
        <v>-16.039839525459968</v>
      </c>
      <c r="BH553" s="43">
        <f t="shared" si="507"/>
        <v>-153.43856854586966</v>
      </c>
      <c r="BI553" s="41" t="str">
        <f t="shared" si="460"/>
        <v>3,22260528847103+0,383585213007641i</v>
      </c>
      <c r="BJ553" s="20">
        <f t="shared" si="508"/>
        <v>10.225241471349587</v>
      </c>
      <c r="BK553" s="43">
        <f t="shared" si="461"/>
        <v>6.7879529826693004</v>
      </c>
      <c r="BL553">
        <f t="shared" si="509"/>
        <v>-16.039839525459968</v>
      </c>
      <c r="BM553" s="43">
        <f t="shared" si="510"/>
        <v>-153.43856854586966</v>
      </c>
    </row>
    <row r="554" spans="14:65" x14ac:dyDescent="0.25">
      <c r="N554" s="9">
        <v>36</v>
      </c>
      <c r="O554" s="34">
        <f t="shared" si="462"/>
        <v>2290867.6527677765</v>
      </c>
      <c r="P554" s="33" t="str">
        <f t="shared" si="463"/>
        <v>54,631621870174</v>
      </c>
      <c r="Q554" s="4" t="str">
        <f t="shared" si="464"/>
        <v>1+57368,8729621448i</v>
      </c>
      <c r="R554" s="4">
        <f t="shared" si="476"/>
        <v>57368.87297086032</v>
      </c>
      <c r="S554" s="4">
        <f t="shared" si="477"/>
        <v>1.5707788957395479</v>
      </c>
      <c r="T554" s="4" t="str">
        <f t="shared" si="465"/>
        <v>1+719,697298828175i</v>
      </c>
      <c r="U554" s="4">
        <f t="shared" si="478"/>
        <v>719.6979935643642</v>
      </c>
      <c r="V554" s="4">
        <f t="shared" si="479"/>
        <v>1.5694068546403064</v>
      </c>
      <c r="W554" t="str">
        <f t="shared" si="466"/>
        <v>1-57,2783883282257i</v>
      </c>
      <c r="X554" s="4">
        <f t="shared" si="480"/>
        <v>57.287116959042571</v>
      </c>
      <c r="Y554" s="4">
        <f t="shared" si="481"/>
        <v>-1.5533395084913153</v>
      </c>
      <c r="Z554" t="str">
        <f t="shared" si="467"/>
        <v>-19,9922984099911+7,869587286252i</v>
      </c>
      <c r="AA554" s="4">
        <f t="shared" si="482"/>
        <v>21.485399688394718</v>
      </c>
      <c r="AB554" s="4">
        <f t="shared" si="483"/>
        <v>2.7665888719384157</v>
      </c>
      <c r="AC554" s="47" t="str">
        <f t="shared" si="484"/>
        <v>-0,696592510886552+1,68941365914347i</v>
      </c>
      <c r="AD554" s="20">
        <f t="shared" si="485"/>
        <v>5.2366319364405776</v>
      </c>
      <c r="AE554" s="43">
        <f t="shared" si="486"/>
        <v>112.4077238382864</v>
      </c>
      <c r="AF554" t="str">
        <f t="shared" si="468"/>
        <v>171,265703090588</v>
      </c>
      <c r="AG554" t="str">
        <f t="shared" si="469"/>
        <v>1+56819,8518475889i</v>
      </c>
      <c r="AH554">
        <f t="shared" si="487"/>
        <v>56819.851856388632</v>
      </c>
      <c r="AI554">
        <f t="shared" si="488"/>
        <v>1.5707787273121916</v>
      </c>
      <c r="AJ554" t="str">
        <f t="shared" si="470"/>
        <v>1+719,697298828175i</v>
      </c>
      <c r="AK554">
        <f t="shared" si="489"/>
        <v>719.6979935643642</v>
      </c>
      <c r="AL554">
        <f t="shared" si="490"/>
        <v>1.5694068546403064</v>
      </c>
      <c r="AM554" t="str">
        <f t="shared" si="471"/>
        <v>1-18,0962215700181i</v>
      </c>
      <c r="AN554">
        <f t="shared" si="491"/>
        <v>18.123830586031982</v>
      </c>
      <c r="AO554">
        <f t="shared" si="492"/>
        <v>-1.5155923184784481</v>
      </c>
      <c r="AP554" s="41" t="str">
        <f t="shared" si="493"/>
        <v>2,11544833431259-39,2591611380059i</v>
      </c>
      <c r="AQ554">
        <f t="shared" si="494"/>
        <v>31.891411811260689</v>
      </c>
      <c r="AR554" s="43">
        <f t="shared" si="495"/>
        <v>-86.915645825390769</v>
      </c>
      <c r="AS554" t="str">
        <f t="shared" si="472"/>
        <v>-0,0000166666666666667</v>
      </c>
      <c r="AT554" t="str">
        <f t="shared" si="473"/>
        <v>0,0477015369663314i</v>
      </c>
      <c r="AU554">
        <f t="shared" si="496"/>
        <v>4.77015369663314E-2</v>
      </c>
      <c r="AV554">
        <f t="shared" si="497"/>
        <v>1.5707963267948966</v>
      </c>
      <c r="AW554" t="str">
        <f t="shared" si="474"/>
        <v>1+16,0531153679477i</v>
      </c>
      <c r="AX554">
        <f t="shared" si="498"/>
        <v>16.084231813072041</v>
      </c>
      <c r="AY554">
        <f t="shared" si="499"/>
        <v>1.5085835102018581</v>
      </c>
      <c r="AZ554" t="str">
        <f t="shared" si="475"/>
        <v>1+3800,00173781276i</v>
      </c>
      <c r="BA554">
        <f t="shared" si="500"/>
        <v>3800.001869391645</v>
      </c>
      <c r="BB554">
        <f t="shared" si="501"/>
        <v>1.5705331690265816</v>
      </c>
      <c r="BC554" s="41" t="str">
        <f t="shared" si="502"/>
        <v>-0,00511047138342421+0,0823883814544588i</v>
      </c>
      <c r="BD554">
        <f t="shared" si="503"/>
        <v>-21.666002725592662</v>
      </c>
      <c r="BE554" s="43">
        <f t="shared" si="504"/>
        <v>93.549453992932015</v>
      </c>
      <c r="BF554" s="41" t="str">
        <f t="shared" si="505"/>
        <v>-0,135628140891092-0,0660248296650592i</v>
      </c>
      <c r="BG554" s="20">
        <f t="shared" si="506"/>
        <v>-16.429370789152081</v>
      </c>
      <c r="BH554" s="43">
        <f t="shared" si="507"/>
        <v>-154.04282216878158</v>
      </c>
      <c r="BI554" s="41" t="str">
        <f t="shared" si="460"/>
        <v>3,22368780524448+0,374921183847564i</v>
      </c>
      <c r="BJ554" s="20">
        <f t="shared" si="508"/>
        <v>10.225409085668035</v>
      </c>
      <c r="BK554" s="43">
        <f t="shared" si="461"/>
        <v>6.6338081675412592</v>
      </c>
      <c r="BL554">
        <f t="shared" si="509"/>
        <v>-16.429370789152081</v>
      </c>
      <c r="BM554" s="43">
        <f t="shared" si="510"/>
        <v>-154.04282216878158</v>
      </c>
    </row>
    <row r="555" spans="14:65" x14ac:dyDescent="0.25">
      <c r="N555" s="9">
        <v>37</v>
      </c>
      <c r="O555" s="34">
        <f t="shared" si="462"/>
        <v>2344228.8153199251</v>
      </c>
      <c r="P555" s="33" t="str">
        <f t="shared" si="463"/>
        <v>54,631621870174</v>
      </c>
      <c r="Q555" s="4" t="str">
        <f t="shared" si="464"/>
        <v>1+58705,1656772076i</v>
      </c>
      <c r="R555" s="4">
        <f t="shared" si="476"/>
        <v>58705.165685724744</v>
      </c>
      <c r="S555" s="4">
        <f t="shared" si="477"/>
        <v>1.5707792925188091</v>
      </c>
      <c r="T555" s="4" t="str">
        <f t="shared" si="465"/>
        <v>1+736,46120245426i</v>
      </c>
      <c r="U555" s="4">
        <f t="shared" si="478"/>
        <v>736.46188137633749</v>
      </c>
      <c r="V555" s="4">
        <f t="shared" si="479"/>
        <v>1.5694384828486203</v>
      </c>
      <c r="W555" t="str">
        <f t="shared" si="466"/>
        <v>1-58,6125733854092i</v>
      </c>
      <c r="X555" s="4">
        <f t="shared" si="480"/>
        <v>58.621103357579166</v>
      </c>
      <c r="Y555" s="4">
        <f t="shared" si="481"/>
        <v>-1.5537367961998452</v>
      </c>
      <c r="Z555" t="str">
        <f t="shared" si="467"/>
        <v>-20,9816349543052+8,0528935221634i</v>
      </c>
      <c r="AA555" s="4">
        <f t="shared" si="482"/>
        <v>22.473942676687219</v>
      </c>
      <c r="AB555" s="4">
        <f t="shared" si="483"/>
        <v>2.7751234230402151</v>
      </c>
      <c r="AC555" s="47" t="str">
        <f t="shared" si="484"/>
        <v>-0,666722439168082+1,6587118287174i</v>
      </c>
      <c r="AD555" s="20">
        <f t="shared" si="485"/>
        <v>5.0458553665810424</v>
      </c>
      <c r="AE555" s="43">
        <f t="shared" si="486"/>
        <v>111.89775660023618</v>
      </c>
      <c r="AF555" t="str">
        <f t="shared" si="468"/>
        <v>171,265703090588</v>
      </c>
      <c r="AG555" t="str">
        <f t="shared" si="469"/>
        <v>1+58143,3562180685i</v>
      </c>
      <c r="AH555">
        <f t="shared" si="487"/>
        <v>58143.356226667936</v>
      </c>
      <c r="AI555">
        <f t="shared" si="488"/>
        <v>1.5707791279253276</v>
      </c>
      <c r="AJ555" t="str">
        <f t="shared" si="470"/>
        <v>1+736,46120245426i</v>
      </c>
      <c r="AK555">
        <f t="shared" si="489"/>
        <v>736.46188137633749</v>
      </c>
      <c r="AL555">
        <f t="shared" si="490"/>
        <v>1.5694384828486203</v>
      </c>
      <c r="AM555" t="str">
        <f t="shared" si="471"/>
        <v>1-18,5177367193593i</v>
      </c>
      <c r="AN555">
        <f t="shared" si="491"/>
        <v>18.544718202429166</v>
      </c>
      <c r="AO555">
        <f t="shared" si="492"/>
        <v>-1.5168464499590508</v>
      </c>
      <c r="AP555" s="41" t="str">
        <f t="shared" si="493"/>
        <v>2,11544833195452-40,1734873692923i</v>
      </c>
      <c r="AQ555">
        <f t="shared" si="494"/>
        <v>32.090816322730284</v>
      </c>
      <c r="AR555" s="43">
        <f t="shared" si="495"/>
        <v>-86.985713056775751</v>
      </c>
      <c r="AS555" t="str">
        <f t="shared" si="472"/>
        <v>-0,0000166666666666667</v>
      </c>
      <c r="AT555" t="str">
        <f t="shared" si="473"/>
        <v>0,0488126484986682i</v>
      </c>
      <c r="AU555">
        <f t="shared" si="496"/>
        <v>4.8812648498668197E-2</v>
      </c>
      <c r="AV555">
        <f t="shared" si="497"/>
        <v>1.5707963267948966</v>
      </c>
      <c r="AW555" t="str">
        <f t="shared" si="474"/>
        <v>1+16,4270404602954i</v>
      </c>
      <c r="AX555">
        <f t="shared" si="498"/>
        <v>16.457449932604447</v>
      </c>
      <c r="AY555">
        <f t="shared" si="499"/>
        <v>1.5099961189379476</v>
      </c>
      <c r="AZ555" t="str">
        <f t="shared" si="475"/>
        <v>1+3888,51514895849i</v>
      </c>
      <c r="BA555">
        <f t="shared" si="500"/>
        <v>3888.5152775422739</v>
      </c>
      <c r="BB555">
        <f t="shared" si="501"/>
        <v>1.5705391592284483</v>
      </c>
      <c r="BC555" s="41" t="str">
        <f t="shared" si="502"/>
        <v>-0,00488131150170139+0,0805269430939753i</v>
      </c>
      <c r="BD555">
        <f t="shared" si="503"/>
        <v>-21.865247115544566</v>
      </c>
      <c r="BE555" s="43">
        <f t="shared" si="504"/>
        <v>93.468860687536193</v>
      </c>
      <c r="BF555" s="41" t="str">
        <f t="shared" si="505"/>
        <v>-0,130316513129676-0,0617858090458909i</v>
      </c>
      <c r="BG555" s="20">
        <f t="shared" si="506"/>
        <v>-16.81939174896354</v>
      </c>
      <c r="BH555" s="43">
        <f t="shared" si="507"/>
        <v>-154.63338271222761</v>
      </c>
      <c r="BI555" s="41" t="str">
        <f t="shared" si="460"/>
        <v>3,22472196899951+0,366449893404729i</v>
      </c>
      <c r="BJ555" s="20">
        <f t="shared" si="508"/>
        <v>10.225569207185714</v>
      </c>
      <c r="BK555" s="43">
        <f t="shared" si="461"/>
        <v>6.4831476307604481</v>
      </c>
      <c r="BL555">
        <f t="shared" si="509"/>
        <v>-16.81939174896354</v>
      </c>
      <c r="BM555" s="43">
        <f t="shared" si="510"/>
        <v>-154.63338271222761</v>
      </c>
    </row>
    <row r="556" spans="14:65" x14ac:dyDescent="0.25">
      <c r="N556" s="9">
        <v>38</v>
      </c>
      <c r="O556" s="34">
        <f t="shared" si="462"/>
        <v>2398832.9190194933</v>
      </c>
      <c r="P556" s="33" t="str">
        <f t="shared" si="463"/>
        <v>54,631621870174</v>
      </c>
      <c r="Q556" s="4" t="str">
        <f t="shared" si="464"/>
        <v>1+60072,5846481671i</v>
      </c>
      <c r="R556" s="4">
        <f t="shared" si="476"/>
        <v>60072.584656490377</v>
      </c>
      <c r="S556" s="4">
        <f t="shared" si="477"/>
        <v>1.5707796802662719</v>
      </c>
      <c r="T556" s="4" t="str">
        <f t="shared" si="465"/>
        <v>1+753,6155875581i</v>
      </c>
      <c r="U556" s="4">
        <f t="shared" si="478"/>
        <v>753.61625102603796</v>
      </c>
      <c r="V556" s="4">
        <f t="shared" si="479"/>
        <v>1.5694693911136419</v>
      </c>
      <c r="W556" t="str">
        <f t="shared" si="466"/>
        <v>1-59,9778356048305i</v>
      </c>
      <c r="X556" s="4">
        <f t="shared" si="480"/>
        <v>59.986171438424655</v>
      </c>
      <c r="Y556" s="4">
        <f t="shared" si="481"/>
        <v>-1.5541250457403302</v>
      </c>
      <c r="Z556" t="str">
        <f t="shared" si="467"/>
        <v>-22,0175974934864+8,24046950881286i</v>
      </c>
      <c r="AA556" s="4">
        <f t="shared" si="482"/>
        <v>23.509145818401251</v>
      </c>
      <c r="AB556" s="4">
        <f t="shared" si="483"/>
        <v>2.783464395876734</v>
      </c>
      <c r="AC556" s="47" t="str">
        <f t="shared" si="484"/>
        <v>-0,638066779233963+1,62820824852761i</v>
      </c>
      <c r="AD556" s="20">
        <f t="shared" si="485"/>
        <v>4.8546465066279367</v>
      </c>
      <c r="AE556" s="43">
        <f t="shared" si="486"/>
        <v>111.39935769644741</v>
      </c>
      <c r="AF556" t="str">
        <f t="shared" si="468"/>
        <v>171,265703090588</v>
      </c>
      <c r="AG556" t="str">
        <f t="shared" si="469"/>
        <v>1+59497,6889656329i</v>
      </c>
      <c r="AH556">
        <f t="shared" si="487"/>
        <v>59497.688974036588</v>
      </c>
      <c r="AI556">
        <f t="shared" si="488"/>
        <v>1.5707795194193952</v>
      </c>
      <c r="AJ556" t="str">
        <f t="shared" si="470"/>
        <v>1+753,6155875581i</v>
      </c>
      <c r="AK556">
        <f t="shared" si="489"/>
        <v>753.61625102603796</v>
      </c>
      <c r="AL556">
        <f t="shared" si="490"/>
        <v>1.5694693911136419</v>
      </c>
      <c r="AM556" t="str">
        <f t="shared" si="471"/>
        <v>1-18,9490702178204i</v>
      </c>
      <c r="AN556">
        <f t="shared" si="491"/>
        <v>18.975438390716775</v>
      </c>
      <c r="AO556">
        <f t="shared" si="492"/>
        <v>-1.5180721980909941</v>
      </c>
      <c r="AP556" s="41" t="str">
        <f t="shared" si="493"/>
        <v>2,11544832970259-41,1091141153409i</v>
      </c>
      <c r="AQ556">
        <f t="shared" si="494"/>
        <v>32.29024755946358</v>
      </c>
      <c r="AR556" s="43">
        <f t="shared" si="495"/>
        <v>-87.0541947693021</v>
      </c>
      <c r="AS556" t="str">
        <f t="shared" si="472"/>
        <v>-0,0000166666666666667</v>
      </c>
      <c r="AT556" t="str">
        <f t="shared" si="473"/>
        <v>0,0499496411433509i</v>
      </c>
      <c r="AU556">
        <f t="shared" si="496"/>
        <v>4.9949641143350897E-2</v>
      </c>
      <c r="AV556">
        <f t="shared" si="497"/>
        <v>1.5707963267948966</v>
      </c>
      <c r="AW556" t="str">
        <f t="shared" si="474"/>
        <v>1+16,8096753869326i</v>
      </c>
      <c r="AX556">
        <f t="shared" si="498"/>
        <v>16.839393890934662</v>
      </c>
      <c r="AY556">
        <f t="shared" si="499"/>
        <v>1.5113768075708942</v>
      </c>
      <c r="AZ556" t="str">
        <f t="shared" si="475"/>
        <v>1+3979,09030230677i</v>
      </c>
      <c r="BA556">
        <f t="shared" si="500"/>
        <v>3979.0904279636302</v>
      </c>
      <c r="BB556">
        <f t="shared" si="501"/>
        <v>1.5705450130766914</v>
      </c>
      <c r="BC556" s="41" t="str">
        <f t="shared" si="502"/>
        <v>-0,00466239105504486+0,0787069495597628i</v>
      </c>
      <c r="BD556">
        <f t="shared" si="503"/>
        <v>-22.064525390802501</v>
      </c>
      <c r="BE556" s="43">
        <f t="shared" si="504"/>
        <v>93.390088456844879</v>
      </c>
      <c r="BF556" s="41" t="str">
        <f t="shared" si="505"/>
        <v>-0,125176387645631-0,0578116333826132i</v>
      </c>
      <c r="BG556" s="20">
        <f t="shared" si="506"/>
        <v>-17.209878884174543</v>
      </c>
      <c r="BH556" s="43">
        <f t="shared" si="507"/>
        <v>-155.21055384670777</v>
      </c>
      <c r="BI556" s="41" t="str">
        <f t="shared" si="460"/>
        <v>3,22570992375285+0,35816725091437i</v>
      </c>
      <c r="BJ556" s="20">
        <f t="shared" si="508"/>
        <v>10.225722168661072</v>
      </c>
      <c r="BK556" s="43">
        <f t="shared" si="461"/>
        <v>6.335893687542792</v>
      </c>
      <c r="BL556">
        <f t="shared" si="509"/>
        <v>-17.209878884174543</v>
      </c>
      <c r="BM556" s="43">
        <f t="shared" si="510"/>
        <v>-155.21055384670777</v>
      </c>
    </row>
    <row r="557" spans="14:65" x14ac:dyDescent="0.25">
      <c r="N557" s="9">
        <v>39</v>
      </c>
      <c r="O557" s="34">
        <f t="shared" si="462"/>
        <v>2454708.915685033</v>
      </c>
      <c r="P557" s="33" t="str">
        <f t="shared" si="463"/>
        <v>54,631621870174</v>
      </c>
      <c r="Q557" s="4" t="str">
        <f t="shared" si="464"/>
        <v>1+61471,8548986616i</v>
      </c>
      <c r="R557" s="4">
        <f t="shared" si="476"/>
        <v>61471.854906795401</v>
      </c>
      <c r="S557" s="4">
        <f t="shared" si="477"/>
        <v>1.5707800591875247</v>
      </c>
      <c r="T557" s="4" t="str">
        <f t="shared" si="465"/>
        <v>1+771,169549621745i</v>
      </c>
      <c r="U557" s="4">
        <f t="shared" si="478"/>
        <v>771.17019798732167</v>
      </c>
      <c r="V557" s="4">
        <f t="shared" si="479"/>
        <v>1.5694995958231062</v>
      </c>
      <c r="W557" t="str">
        <f t="shared" si="466"/>
        <v>1-61,37489886659i</v>
      </c>
      <c r="X557" s="4">
        <f t="shared" si="480"/>
        <v>61.383044978920282</v>
      </c>
      <c r="Y557" s="4">
        <f t="shared" si="481"/>
        <v>-1.5545044624993565</v>
      </c>
      <c r="Z557" t="str">
        <f t="shared" si="467"/>
        <v>-23,1023834429743+8,43241470147141i</v>
      </c>
      <c r="AA557" s="4">
        <f t="shared" si="482"/>
        <v>24.593205127510412</v>
      </c>
      <c r="AB557" s="4">
        <f t="shared" si="483"/>
        <v>2.7916160891531021</v>
      </c>
      <c r="AC557" s="47" t="str">
        <f t="shared" si="484"/>
        <v>-0,61058222834097+1,59792991060697i</v>
      </c>
      <c r="AD557" s="20">
        <f t="shared" si="485"/>
        <v>4.663026192907255</v>
      </c>
      <c r="AE557" s="43">
        <f t="shared" si="486"/>
        <v>110.91226998864259</v>
      </c>
      <c r="AF557" t="str">
        <f t="shared" si="468"/>
        <v>171,265703090588</v>
      </c>
      <c r="AG557" t="str">
        <f t="shared" si="469"/>
        <v>1+60883,568175432i</v>
      </c>
      <c r="AH557">
        <f t="shared" si="487"/>
        <v>60883.568183644391</v>
      </c>
      <c r="AI557">
        <f t="shared" si="488"/>
        <v>1.5707799020019702</v>
      </c>
      <c r="AJ557" t="str">
        <f t="shared" si="470"/>
        <v>1+771,169549621745i</v>
      </c>
      <c r="AK557">
        <f t="shared" si="489"/>
        <v>771.17019798732167</v>
      </c>
      <c r="AL557">
        <f t="shared" si="490"/>
        <v>1.5694995958231062</v>
      </c>
      <c r="AM557" t="str">
        <f t="shared" si="471"/>
        <v>1-19,3904507641315i</v>
      </c>
      <c r="AN557">
        <f t="shared" si="491"/>
        <v>19.416219529975653</v>
      </c>
      <c r="AO557">
        <f t="shared" si="492"/>
        <v>-1.5192701980407231</v>
      </c>
      <c r="AP557" s="41" t="str">
        <f t="shared" si="493"/>
        <v>2,115448327552-42,0665374578367i</v>
      </c>
      <c r="AQ557">
        <f t="shared" si="494"/>
        <v>32.489704325306398</v>
      </c>
      <c r="AR557" s="43">
        <f t="shared" si="495"/>
        <v>-87.121126428271594</v>
      </c>
      <c r="AS557" t="str">
        <f t="shared" si="472"/>
        <v>-0,0000166666666666667</v>
      </c>
      <c r="AT557" t="str">
        <f t="shared" si="473"/>
        <v>0,0511131177489294i</v>
      </c>
      <c r="AU557">
        <f t="shared" si="496"/>
        <v>5.1113117748929397E-2</v>
      </c>
      <c r="AV557">
        <f t="shared" si="497"/>
        <v>1.5707963267948966</v>
      </c>
      <c r="AW557" t="str">
        <f t="shared" si="474"/>
        <v>1+17,2012230259624i</v>
      </c>
      <c r="AX557">
        <f t="shared" si="498"/>
        <v>17.230266207720035</v>
      </c>
      <c r="AY557">
        <f t="shared" si="499"/>
        <v>1.5127262870921261</v>
      </c>
      <c r="AZ557" t="str">
        <f t="shared" si="475"/>
        <v>1+4071,77522200281i</v>
      </c>
      <c r="BA557">
        <f t="shared" si="500"/>
        <v>4071.7753447993705</v>
      </c>
      <c r="BB557">
        <f t="shared" si="501"/>
        <v>1.570550733675097</v>
      </c>
      <c r="BC557" s="41" t="str">
        <f t="shared" si="502"/>
        <v>-0,00445325571062331+0,0769275188248233i</v>
      </c>
      <c r="BD557">
        <f t="shared" si="503"/>
        <v>-22.263836037039813</v>
      </c>
      <c r="BE557" s="43">
        <f t="shared" si="504"/>
        <v>93.313096741883896</v>
      </c>
      <c r="BF557" s="41" t="str">
        <f t="shared" si="505"/>
        <v>-0,120205704483801-0,0540865663643888i</v>
      </c>
      <c r="BG557" s="20">
        <f t="shared" si="506"/>
        <v>-17.600809844132577</v>
      </c>
      <c r="BH557" s="43">
        <f t="shared" si="507"/>
        <v>-155.77463326947344</v>
      </c>
      <c r="BI557" s="41" t="str">
        <f t="shared" si="460"/>
        <v>3,22665371983767+0,350069239200958i</v>
      </c>
      <c r="BJ557" s="20">
        <f t="shared" si="508"/>
        <v>10.225868288266597</v>
      </c>
      <c r="BK557" s="43">
        <f t="shared" si="461"/>
        <v>6.1919703136122974</v>
      </c>
      <c r="BL557">
        <f t="shared" si="509"/>
        <v>-17.600809844132577</v>
      </c>
      <c r="BM557" s="43">
        <f t="shared" si="510"/>
        <v>-155.77463326947344</v>
      </c>
    </row>
    <row r="558" spans="14:65" x14ac:dyDescent="0.25">
      <c r="N558" s="9">
        <v>40</v>
      </c>
      <c r="O558" s="34">
        <f t="shared" si="462"/>
        <v>2511886.431509587</v>
      </c>
      <c r="P558" s="33" t="str">
        <f t="shared" si="463"/>
        <v>54,631621870174</v>
      </c>
      <c r="Q558" s="4" t="str">
        <f t="shared" si="464"/>
        <v>1+62903,7183403i</v>
      </c>
      <c r="R558" s="4">
        <f t="shared" si="476"/>
        <v>62903.718348248658</v>
      </c>
      <c r="S558" s="4">
        <f t="shared" si="477"/>
        <v>1.5707804294834768</v>
      </c>
      <c r="T558" s="4" t="str">
        <f t="shared" si="465"/>
        <v>1+789,13239598824i</v>
      </c>
      <c r="U558" s="4">
        <f t="shared" si="478"/>
        <v>789.13302959522628</v>
      </c>
      <c r="V558" s="4">
        <f t="shared" si="479"/>
        <v>1.569529112991729</v>
      </c>
      <c r="W558" t="str">
        <f t="shared" si="466"/>
        <v>1-62,8045039121218i</v>
      </c>
      <c r="X558" s="4">
        <f t="shared" si="480"/>
        <v>62.812464620071417</v>
      </c>
      <c r="Y558" s="4">
        <f t="shared" si="481"/>
        <v>-1.5548752472115033</v>
      </c>
      <c r="Z558" t="str">
        <f t="shared" si="467"/>
        <v>-24,2382937792079+8,62883087202094i</v>
      </c>
      <c r="AA558" s="4">
        <f t="shared" si="482"/>
        <v>25.728420230265407</v>
      </c>
      <c r="AB558" s="4">
        <f t="shared" si="483"/>
        <v>2.7995827172576941</v>
      </c>
      <c r="AC558" s="47" t="str">
        <f t="shared" si="484"/>
        <v>-0,584226448319625+1,56790130630444i</v>
      </c>
      <c r="AD558" s="20">
        <f t="shared" si="485"/>
        <v>4.4710142190050846</v>
      </c>
      <c r="AE558" s="43">
        <f t="shared" si="486"/>
        <v>110.43624141497536</v>
      </c>
      <c r="AF558" t="str">
        <f t="shared" si="468"/>
        <v>171,265703090588</v>
      </c>
      <c r="AG558" t="str">
        <f t="shared" si="469"/>
        <v>1+62301,7286589673i</v>
      </c>
      <c r="AH558">
        <f t="shared" si="487"/>
        <v>62301.728666992763</v>
      </c>
      <c r="AI558">
        <f t="shared" si="488"/>
        <v>1.5707802758759022</v>
      </c>
      <c r="AJ558" t="str">
        <f t="shared" si="470"/>
        <v>1+789,13239598824i</v>
      </c>
      <c r="AK558">
        <f t="shared" si="489"/>
        <v>789.13302959522628</v>
      </c>
      <c r="AL558">
        <f t="shared" si="490"/>
        <v>1.569529112991729</v>
      </c>
      <c r="AM558" t="str">
        <f t="shared" si="471"/>
        <v>1-19,8421123841008i</v>
      </c>
      <c r="AN558">
        <f t="shared" si="491"/>
        <v>19.867295333368514</v>
      </c>
      <c r="AO558">
        <f t="shared" si="492"/>
        <v>-1.5204410712408718</v>
      </c>
      <c r="AP558" s="41" t="str">
        <f t="shared" si="493"/>
        <v>2,11544832549821-43,0462650353093i</v>
      </c>
      <c r="AQ558">
        <f t="shared" si="494"/>
        <v>32.689185477354997</v>
      </c>
      <c r="AR558" s="43">
        <f t="shared" si="495"/>
        <v>-87.186542733198209</v>
      </c>
      <c r="AS558" t="str">
        <f t="shared" si="472"/>
        <v>-0,0000166666666666667</v>
      </c>
      <c r="AT558" t="str">
        <f t="shared" si="473"/>
        <v>0,0523036952061005i</v>
      </c>
      <c r="AU558">
        <f t="shared" si="496"/>
        <v>5.2303695206100502E-2</v>
      </c>
      <c r="AV558">
        <f t="shared" si="497"/>
        <v>1.5707963267948966</v>
      </c>
      <c r="AW558" t="str">
        <f t="shared" si="474"/>
        <v>1+17,6018909811257i</v>
      </c>
      <c r="AX558">
        <f t="shared" si="498"/>
        <v>17.630274136026195</v>
      </c>
      <c r="AY558">
        <f t="shared" si="499"/>
        <v>1.5140452533421884</v>
      </c>
      <c r="AZ558" t="str">
        <f t="shared" si="475"/>
        <v>1+4166,61905081791i</v>
      </c>
      <c r="BA558">
        <f t="shared" si="500"/>
        <v>4166.6191708192791</v>
      </c>
      <c r="BB558">
        <f t="shared" si="501"/>
        <v>1.5705563240568006</v>
      </c>
      <c r="BC558" s="41" t="str">
        <f t="shared" si="502"/>
        <v>-0,00425347101482143+0,0751877848950793i</v>
      </c>
      <c r="BD558">
        <f t="shared" si="503"/>
        <v>-22.463177607143319</v>
      </c>
      <c r="BE558" s="43">
        <f t="shared" si="504"/>
        <v>93.237845847712606</v>
      </c>
      <c r="BF558" s="41" t="str">
        <f t="shared" si="505"/>
        <v>-0,115402035891112-0,0505957152867387i</v>
      </c>
      <c r="BG558" s="20">
        <f t="shared" si="506"/>
        <v>-17.992163388138259</v>
      </c>
      <c r="BH558" s="43">
        <f t="shared" si="507"/>
        <v>-156.32591273731194</v>
      </c>
      <c r="BI558" s="41" t="str">
        <f t="shared" si="460"/>
        <v>3,22755531787555+0,342151914278224i</v>
      </c>
      <c r="BJ558" s="20">
        <f t="shared" si="508"/>
        <v>10.22600787021168</v>
      </c>
      <c r="BK558" s="43">
        <f t="shared" si="461"/>
        <v>6.0513031145143961</v>
      </c>
      <c r="BL558">
        <f t="shared" si="509"/>
        <v>-17.992163388138259</v>
      </c>
      <c r="BM558" s="43">
        <f t="shared" si="510"/>
        <v>-156.32591273731194</v>
      </c>
    </row>
    <row r="559" spans="14:65" x14ac:dyDescent="0.25">
      <c r="N559" s="9">
        <v>41</v>
      </c>
      <c r="O559" s="34">
        <f t="shared" si="462"/>
        <v>2570395.782768866</v>
      </c>
      <c r="P559" s="33" t="str">
        <f t="shared" si="463"/>
        <v>54,631621870174</v>
      </c>
      <c r="Q559" s="4" t="str">
        <f t="shared" si="464"/>
        <v>1+64368,9341660312i</v>
      </c>
      <c r="R559" s="4">
        <f t="shared" si="476"/>
        <v>64368.934173798923</v>
      </c>
      <c r="S559" s="4">
        <f t="shared" si="477"/>
        <v>1.5707807913504641</v>
      </c>
      <c r="T559" s="4" t="str">
        <f t="shared" si="465"/>
        <v>1+807,513650796485i</v>
      </c>
      <c r="U559" s="4">
        <f t="shared" si="478"/>
        <v>807.51426998082661</v>
      </c>
      <c r="V559" s="4">
        <f t="shared" si="479"/>
        <v>1.5695579582696981</v>
      </c>
      <c r="W559" t="str">
        <f t="shared" si="466"/>
        <v>1-64,2674087369433i</v>
      </c>
      <c r="X559" s="4">
        <f t="shared" si="480"/>
        <v>64.275188259244601</v>
      </c>
      <c r="Y559" s="4">
        <f t="shared" si="481"/>
        <v>-1.5552375960636911</v>
      </c>
      <c r="Z559" t="str">
        <f t="shared" si="467"/>
        <v>-25,4277379203039+8,82982216291483i</v>
      </c>
      <c r="AA559" s="4">
        <f t="shared" si="482"/>
        <v>26.917199244578974</v>
      </c>
      <c r="AB559" s="4">
        <f t="shared" si="483"/>
        <v>2.8073684106384578</v>
      </c>
      <c r="AC559" s="47" t="str">
        <f t="shared" si="484"/>
        <v>-0,558958106184759+1,53814458441977i</v>
      </c>
      <c r="AD559" s="20">
        <f t="shared" si="485"/>
        <v>4.2786293898688799</v>
      </c>
      <c r="AE559" s="43">
        <f t="shared" si="486"/>
        <v>109.97102496296824</v>
      </c>
      <c r="AF559" t="str">
        <f t="shared" si="468"/>
        <v>171,265703090588</v>
      </c>
      <c r="AG559" t="str">
        <f t="shared" si="469"/>
        <v>1+63752,9223436981i</v>
      </c>
      <c r="AH559">
        <f t="shared" si="487"/>
        <v>63752.922351540888</v>
      </c>
      <c r="AI559">
        <f t="shared" si="488"/>
        <v>1.5707806412394247</v>
      </c>
      <c r="AJ559" t="str">
        <f t="shared" si="470"/>
        <v>1+807,513650796485i</v>
      </c>
      <c r="AK559">
        <f t="shared" si="489"/>
        <v>807.51426998082661</v>
      </c>
      <c r="AL559">
        <f t="shared" si="490"/>
        <v>1.5695579582696981</v>
      </c>
      <c r="AM559" t="str">
        <f t="shared" si="471"/>
        <v>1-20,3042945546975i</v>
      </c>
      <c r="AN559">
        <f t="shared" si="491"/>
        <v>20.328904972081464</v>
      </c>
      <c r="AO559">
        <f t="shared" si="492"/>
        <v>-1.5215854256550065</v>
      </c>
      <c r="AP559" s="41" t="str">
        <f t="shared" si="493"/>
        <v>2,11544832353685-44,0488163122884i</v>
      </c>
      <c r="AQ559">
        <f t="shared" si="494"/>
        <v>32.888689923610364</v>
      </c>
      <c r="AR559" s="43">
        <f t="shared" si="495"/>
        <v>-87.250477632496626</v>
      </c>
      <c r="AS559" t="str">
        <f t="shared" si="472"/>
        <v>-0,0000166666666666667</v>
      </c>
      <c r="AT559" t="str">
        <f t="shared" si="473"/>
        <v>0,0535220047747911i</v>
      </c>
      <c r="AU559">
        <f t="shared" si="496"/>
        <v>5.3522004774791097E-2</v>
      </c>
      <c r="AV559">
        <f t="shared" si="497"/>
        <v>1.5707963267948966</v>
      </c>
      <c r="AW559" t="str">
        <f t="shared" si="474"/>
        <v>1+18,0118916918757i</v>
      </c>
      <c r="AX559">
        <f t="shared" si="498"/>
        <v>18.03962977225034</v>
      </c>
      <c r="AY559">
        <f t="shared" si="499"/>
        <v>1.5153343872875107</v>
      </c>
      <c r="AZ559" t="str">
        <f t="shared" si="475"/>
        <v>1+4263,67207620544i</v>
      </c>
      <c r="BA559">
        <f t="shared" si="500"/>
        <v>4263.672193475245</v>
      </c>
      <c r="BB559">
        <f t="shared" si="501"/>
        <v>1.5705617871858952</v>
      </c>
      <c r="BC559" s="41" t="str">
        <f t="shared" si="502"/>
        <v>-0,00406262154804618+0,0734868977087685i</v>
      </c>
      <c r="BD559">
        <f t="shared" si="503"/>
        <v>-22.662548718270909</v>
      </c>
      <c r="BE559" s="43">
        <f t="shared" si="504"/>
        <v>93.164296927658668</v>
      </c>
      <c r="BF559" s="41" t="str">
        <f t="shared" si="505"/>
        <v>-0,110762638489911-0,0473249965053606i</v>
      </c>
      <c r="BG559" s="20">
        <f t="shared" si="506"/>
        <v>-18.383919328402005</v>
      </c>
      <c r="BH559" s="43">
        <f t="shared" si="507"/>
        <v>-156.86467810937319</v>
      </c>
      <c r="BI559" s="41" t="str">
        <f t="shared" si="460"/>
        <v>3,22841659259049+0,334411404876169i</v>
      </c>
      <c r="BJ559" s="20">
        <f t="shared" si="508"/>
        <v>10.226141205339452</v>
      </c>
      <c r="BK559" s="43">
        <f t="shared" si="461"/>
        <v>5.9138192951620452</v>
      </c>
      <c r="BL559">
        <f t="shared" si="509"/>
        <v>-18.383919328402005</v>
      </c>
      <c r="BM559" s="43">
        <f t="shared" si="510"/>
        <v>-156.86467810937319</v>
      </c>
    </row>
    <row r="560" spans="14:65" ht="15.75" thickBot="1" x14ac:dyDescent="0.3">
      <c r="N560" s="9">
        <v>42</v>
      </c>
      <c r="O560" s="34">
        <f t="shared" si="462"/>
        <v>2630267.9918953842</v>
      </c>
      <c r="P560" s="33" t="str">
        <f t="shared" si="463"/>
        <v>54,631621870174</v>
      </c>
      <c r="Q560" s="4" t="str">
        <f t="shared" si="464"/>
        <v>1+65868,2792526808i</v>
      </c>
      <c r="R560" s="4">
        <f t="shared" si="476"/>
        <v>65868.279260271709</v>
      </c>
      <c r="S560" s="4">
        <f t="shared" si="477"/>
        <v>1.570781144980353</v>
      </c>
      <c r="T560" s="4" t="str">
        <f t="shared" si="465"/>
        <v>1+826,32306003109i</v>
      </c>
      <c r="U560" s="4">
        <f t="shared" si="478"/>
        <v>826.32366512108581</v>
      </c>
      <c r="V560" s="4">
        <f t="shared" si="479"/>
        <v>1.5695861469509698</v>
      </c>
      <c r="W560" t="str">
        <f t="shared" si="466"/>
        <v>1-65,7643889925569i</v>
      </c>
      <c r="X560" s="4">
        <f t="shared" si="480"/>
        <v>65.771991452018085</v>
      </c>
      <c r="Y560" s="4">
        <f t="shared" si="481"/>
        <v>-1.5555917007972575</v>
      </c>
      <c r="Z560" t="str">
        <f t="shared" si="467"/>
        <v>-26,6732388367575+9,03549514239603i</v>
      </c>
      <c r="AA560" s="4">
        <f t="shared" si="482"/>
        <v>28.16206388940574</v>
      </c>
      <c r="AB560" s="4">
        <f t="shared" si="483"/>
        <v>2.814977216335758</v>
      </c>
      <c r="AC560" s="42" t="str">
        <f t="shared" si="484"/>
        <v>-0,534736905967396+1,5086797018022i</v>
      </c>
      <c r="AD560" s="46">
        <f t="shared" si="485"/>
        <v>4.0858895730974005</v>
      </c>
      <c r="AE560" s="45">
        <f t="shared" si="486"/>
        <v>109.51637863360568</v>
      </c>
      <c r="AF560" t="str">
        <f t="shared" si="468"/>
        <v>171,265703090588</v>
      </c>
      <c r="AG560" t="str">
        <f t="shared" si="469"/>
        <v>1+65237,9186717253i</v>
      </c>
      <c r="AH560">
        <f t="shared" si="487"/>
        <v>65237.918679389557</v>
      </c>
      <c r="AI560">
        <f t="shared" si="488"/>
        <v>1.5707809982862579</v>
      </c>
      <c r="AJ560" t="str">
        <f t="shared" si="470"/>
        <v>1+826,32306003109i</v>
      </c>
      <c r="AK560">
        <f t="shared" si="489"/>
        <v>826.32366512108581</v>
      </c>
      <c r="AL560">
        <f t="shared" si="490"/>
        <v>1.5695861469509698</v>
      </c>
      <c r="AM560" t="str">
        <f t="shared" si="471"/>
        <v>1-20,7772423310262i</v>
      </c>
      <c r="AN560">
        <f t="shared" si="491"/>
        <v>20.80129320215902</v>
      </c>
      <c r="AO560">
        <f t="shared" si="492"/>
        <v>-1.5227038560394888</v>
      </c>
      <c r="AP560" s="44" t="str">
        <f t="shared" si="493"/>
        <v>2,11544832166377-45,074722854731i</v>
      </c>
      <c r="AQ560" s="39">
        <f t="shared" si="494"/>
        <v>33.088216620733974</v>
      </c>
      <c r="AR560" s="45">
        <f t="shared" si="495"/>
        <v>-87.312964338016386</v>
      </c>
      <c r="AS560" t="str">
        <f t="shared" si="472"/>
        <v>-0,0000166666666666667</v>
      </c>
      <c r="AT560" t="str">
        <f t="shared" si="473"/>
        <v>0,0547686924188608i</v>
      </c>
      <c r="AU560">
        <f t="shared" si="496"/>
        <v>5.4768692418860801E-2</v>
      </c>
      <c r="AV560">
        <f t="shared" si="497"/>
        <v>1.5707963267948966</v>
      </c>
      <c r="AW560" t="str">
        <f t="shared" si="474"/>
        <v>1+18,4314425460163i</v>
      </c>
      <c r="AX560">
        <f t="shared" si="498"/>
        <v>18.458550168610202</v>
      </c>
      <c r="AY560">
        <f t="shared" si="499"/>
        <v>1.516594355295324</v>
      </c>
      <c r="AZ560" t="str">
        <f t="shared" si="475"/>
        <v>1+4362,98575696415i</v>
      </c>
      <c r="BA560">
        <f t="shared" si="500"/>
        <v>4362.9858715645678</v>
      </c>
      <c r="BB560">
        <f t="shared" si="501"/>
        <v>1.5705671259590028</v>
      </c>
      <c r="BC560" s="44" t="str">
        <f t="shared" si="502"/>
        <v>-0,00388031011328801+0,0718240230210938i</v>
      </c>
      <c r="BD560" s="39">
        <f t="shared" si="503"/>
        <v>-22.861948049033643</v>
      </c>
      <c r="BE560" s="45">
        <f t="shared" si="504"/>
        <v>93.092411967656304</v>
      </c>
      <c r="BF560" s="44" t="str">
        <f t="shared" si="505"/>
        <v>-0,106284500609525-0,0442611009490461i</v>
      </c>
      <c r="BG560" s="46">
        <f t="shared" si="506"/>
        <v>-18.776058475936214</v>
      </c>
      <c r="BH560" s="45">
        <f t="shared" si="507"/>
        <v>-157.39120939873811</v>
      </c>
      <c r="BI560" s="44" t="str">
        <f t="shared" si="460"/>
        <v>3,22923933647093+0,32684391190198i</v>
      </c>
      <c r="BJ560" s="46">
        <f t="shared" si="508"/>
        <v>10.226268571700325</v>
      </c>
      <c r="BK560" s="45">
        <f t="shared" si="461"/>
        <v>5.7794476296399413</v>
      </c>
      <c r="BL560" s="39">
        <f t="shared" si="509"/>
        <v>-18.776058475936214</v>
      </c>
      <c r="BM560" s="45">
        <f t="shared" si="510"/>
        <v>-157.39120939873811</v>
      </c>
    </row>
    <row r="561" spans="14:30" x14ac:dyDescent="0.25">
      <c r="N561" s="9"/>
      <c r="P561" s="33"/>
      <c r="Q561" s="4"/>
      <c r="R561" s="4"/>
      <c r="S561" s="4"/>
      <c r="T561" s="4"/>
      <c r="U561" s="4"/>
      <c r="V561" s="4"/>
      <c r="X561" s="4"/>
      <c r="Y561" s="4"/>
      <c r="AA561" s="4"/>
      <c r="AB561" s="4"/>
      <c r="AC561" s="4"/>
      <c r="AD561" s="20"/>
    </row>
    <row r="562" spans="14:30" x14ac:dyDescent="0.25">
      <c r="N562" s="9"/>
      <c r="P562" s="33"/>
      <c r="Q562" s="4"/>
      <c r="R562" s="4"/>
      <c r="S562" s="4"/>
      <c r="T562" s="4"/>
      <c r="U562" s="4"/>
      <c r="V562" s="4"/>
      <c r="X562" s="4"/>
      <c r="Y562" s="4"/>
      <c r="AA562" s="4"/>
      <c r="AB562" s="4"/>
      <c r="AC562" s="4"/>
      <c r="AD562" s="20"/>
    </row>
    <row r="563" spans="14:30" x14ac:dyDescent="0.25">
      <c r="N563" s="9"/>
      <c r="P563" s="33"/>
      <c r="Q563" s="4"/>
      <c r="R563" s="4"/>
      <c r="S563" s="4"/>
      <c r="T563" s="4"/>
      <c r="U563" s="4"/>
      <c r="V563" s="4"/>
      <c r="X563" s="4"/>
      <c r="Y563" s="4"/>
      <c r="AA563" s="4"/>
      <c r="AB563" s="4"/>
      <c r="AC563" s="4"/>
      <c r="AD563" s="20"/>
    </row>
    <row r="564" spans="14:30" x14ac:dyDescent="0.25">
      <c r="N564" s="9"/>
      <c r="P564" s="33"/>
      <c r="Q564" s="4"/>
      <c r="R564" s="4"/>
      <c r="S564" s="4"/>
      <c r="T564" s="4"/>
      <c r="U564" s="4"/>
      <c r="V564" s="4"/>
      <c r="X564" s="4"/>
      <c r="Y564" s="4"/>
      <c r="AA564" s="4"/>
      <c r="AB564" s="4"/>
      <c r="AC564" s="4"/>
      <c r="AD564" s="20"/>
    </row>
    <row r="565" spans="14:30" x14ac:dyDescent="0.25">
      <c r="N565" s="9"/>
      <c r="P565" s="33"/>
      <c r="Q565" s="4"/>
      <c r="R565" s="4"/>
      <c r="S565" s="4"/>
      <c r="T565" s="4"/>
      <c r="U565" s="4"/>
      <c r="V565" s="4"/>
      <c r="X565" s="4"/>
      <c r="Y565" s="4"/>
      <c r="AA565" s="4"/>
      <c r="AB565" s="4"/>
      <c r="AC565" s="4"/>
      <c r="AD565" s="20"/>
    </row>
    <row r="566" spans="14:30" x14ac:dyDescent="0.25">
      <c r="N566" s="9"/>
      <c r="P566" s="33"/>
      <c r="Q566" s="4"/>
      <c r="R566" s="4"/>
      <c r="S566" s="4"/>
      <c r="T566" s="4"/>
      <c r="U566" s="4"/>
      <c r="V566" s="4"/>
      <c r="X566" s="4"/>
      <c r="Y566" s="4"/>
      <c r="AA566" s="4"/>
      <c r="AB566" s="4"/>
      <c r="AC566" s="4"/>
      <c r="AD566" s="20"/>
    </row>
    <row r="567" spans="14:30" x14ac:dyDescent="0.25">
      <c r="N567" s="9"/>
      <c r="P567" s="33"/>
      <c r="Q567" s="4"/>
      <c r="R567" s="4"/>
      <c r="S567" s="4"/>
      <c r="T567" s="4"/>
      <c r="U567" s="4"/>
      <c r="V567" s="4"/>
      <c r="X567" s="4"/>
      <c r="Y567" s="4"/>
      <c r="AA567" s="4"/>
      <c r="AB567" s="4"/>
      <c r="AC567" s="4"/>
      <c r="AD567" s="20"/>
    </row>
    <row r="568" spans="14:30" x14ac:dyDescent="0.25">
      <c r="N568" s="9"/>
      <c r="P568" s="33"/>
      <c r="Q568" s="4"/>
      <c r="R568" s="4"/>
      <c r="S568" s="4"/>
      <c r="T568" s="4"/>
      <c r="U568" s="4"/>
      <c r="V568" s="4"/>
      <c r="X568" s="4"/>
      <c r="Y568" s="4"/>
      <c r="AA568" s="4"/>
      <c r="AB568" s="4"/>
      <c r="AC568" s="4"/>
      <c r="AD568" s="20"/>
    </row>
    <row r="569" spans="14:30" x14ac:dyDescent="0.25">
      <c r="N569" s="9"/>
      <c r="P569" s="33"/>
      <c r="Q569" s="4"/>
      <c r="R569" s="4"/>
      <c r="S569" s="4"/>
      <c r="T569" s="4"/>
      <c r="U569" s="4"/>
      <c r="V569" s="4"/>
      <c r="X569" s="4"/>
      <c r="Y569" s="4"/>
      <c r="AA569" s="4"/>
      <c r="AB569" s="4"/>
      <c r="AC569" s="4"/>
      <c r="AD569" s="20"/>
    </row>
    <row r="570" spans="14:30" x14ac:dyDescent="0.25">
      <c r="N570" s="9"/>
      <c r="P570" s="33"/>
      <c r="Q570" s="4"/>
      <c r="R570" s="4"/>
      <c r="S570" s="4"/>
      <c r="T570" s="4"/>
      <c r="U570" s="4"/>
      <c r="V570" s="4"/>
      <c r="X570" s="4"/>
      <c r="Y570" s="4"/>
      <c r="AA570" s="4"/>
      <c r="AB570" s="4"/>
      <c r="AC570" s="4"/>
      <c r="AD570" s="20"/>
    </row>
    <row r="571" spans="14:30" x14ac:dyDescent="0.25">
      <c r="N571" s="9"/>
      <c r="P571" s="33"/>
      <c r="Q571" s="4"/>
      <c r="R571" s="4"/>
      <c r="S571" s="4"/>
      <c r="T571" s="4"/>
      <c r="U571" s="4"/>
      <c r="V571" s="4"/>
      <c r="X571" s="4"/>
      <c r="Y571" s="4"/>
      <c r="AA571" s="4"/>
      <c r="AB571" s="4"/>
      <c r="AC571" s="4"/>
      <c r="AD571" s="20"/>
    </row>
    <row r="572" spans="14:30" x14ac:dyDescent="0.25">
      <c r="N572" s="9"/>
      <c r="P572" s="33"/>
      <c r="Q572" s="4"/>
      <c r="R572" s="4"/>
      <c r="S572" s="4"/>
      <c r="T572" s="4"/>
      <c r="U572" s="4"/>
      <c r="V572" s="4"/>
      <c r="X572" s="4"/>
      <c r="Y572" s="4"/>
      <c r="AA572" s="4"/>
      <c r="AB572" s="4"/>
      <c r="AC572" s="4"/>
      <c r="AD572" s="20"/>
    </row>
    <row r="573" spans="14:30" x14ac:dyDescent="0.25">
      <c r="N573" s="9"/>
      <c r="P573" s="33"/>
      <c r="Q573" s="4"/>
      <c r="R573" s="4"/>
      <c r="S573" s="4"/>
      <c r="T573" s="4"/>
      <c r="U573" s="4"/>
      <c r="V573" s="4"/>
      <c r="X573" s="4"/>
      <c r="Y573" s="4"/>
      <c r="AA573" s="4"/>
      <c r="AB573" s="4"/>
      <c r="AC573" s="4"/>
      <c r="AD573" s="20"/>
    </row>
    <row r="574" spans="14:30" x14ac:dyDescent="0.25">
      <c r="N574" s="9"/>
      <c r="P574" s="33"/>
      <c r="Q574" s="4"/>
      <c r="R574" s="4"/>
      <c r="S574" s="4"/>
      <c r="T574" s="4"/>
      <c r="U574" s="4"/>
      <c r="V574" s="4"/>
      <c r="X574" s="4"/>
      <c r="Y574" s="4"/>
      <c r="AA574" s="4"/>
      <c r="AB574" s="4"/>
      <c r="AC574" s="4"/>
      <c r="AD574" s="20"/>
    </row>
    <row r="575" spans="14:30" x14ac:dyDescent="0.25">
      <c r="N575" s="9"/>
      <c r="P575" s="33"/>
      <c r="Q575" s="4"/>
      <c r="R575" s="4"/>
      <c r="S575" s="4"/>
      <c r="T575" s="4"/>
      <c r="U575" s="4"/>
      <c r="V575" s="4"/>
      <c r="X575" s="4"/>
      <c r="Y575" s="4"/>
      <c r="AA575" s="4"/>
      <c r="AB575" s="4"/>
      <c r="AC575" s="4"/>
      <c r="AD575" s="20"/>
    </row>
    <row r="576" spans="14:30" x14ac:dyDescent="0.25">
      <c r="N576" s="9"/>
      <c r="P576" s="33"/>
      <c r="Q576" s="4"/>
      <c r="R576" s="4"/>
      <c r="S576" s="4"/>
      <c r="T576" s="4"/>
      <c r="U576" s="4"/>
      <c r="V576" s="4"/>
      <c r="X576" s="4"/>
      <c r="Y576" s="4"/>
      <c r="AA576" s="4"/>
      <c r="AB576" s="4"/>
      <c r="AC576" s="4"/>
      <c r="AD576" s="20"/>
    </row>
    <row r="577" spans="14:30" x14ac:dyDescent="0.25">
      <c r="N577" s="9"/>
      <c r="P577" s="33"/>
      <c r="Q577" s="4"/>
      <c r="R577" s="4"/>
      <c r="S577" s="4"/>
      <c r="T577" s="4"/>
      <c r="U577" s="4"/>
      <c r="V577" s="4"/>
      <c r="X577" s="4"/>
      <c r="Y577" s="4"/>
      <c r="AA577" s="4"/>
      <c r="AB577" s="4"/>
      <c r="AC577" s="4"/>
      <c r="AD577" s="20"/>
    </row>
    <row r="578" spans="14:30" x14ac:dyDescent="0.25">
      <c r="N578" s="9"/>
      <c r="P578" s="33"/>
      <c r="Q578" s="4"/>
      <c r="R578" s="4"/>
      <c r="S578" s="4"/>
      <c r="T578" s="4"/>
      <c r="U578" s="4"/>
      <c r="V578" s="4"/>
      <c r="X578" s="4"/>
      <c r="Y578" s="4"/>
      <c r="AA578" s="4"/>
      <c r="AB578" s="4"/>
      <c r="AC578" s="4"/>
      <c r="AD578" s="20"/>
    </row>
    <row r="579" spans="14:30" x14ac:dyDescent="0.25">
      <c r="N579" s="9"/>
      <c r="P579" s="33"/>
      <c r="Q579" s="4"/>
      <c r="R579" s="4"/>
      <c r="S579" s="4"/>
      <c r="T579" s="4"/>
      <c r="U579" s="4"/>
      <c r="V579" s="4"/>
      <c r="X579" s="4"/>
      <c r="Y579" s="4"/>
      <c r="AA579" s="4"/>
      <c r="AB579" s="4"/>
      <c r="AC579" s="4"/>
      <c r="AD579" s="20"/>
    </row>
    <row r="580" spans="14:30" x14ac:dyDescent="0.25">
      <c r="N580" s="9"/>
      <c r="P580" s="33"/>
      <c r="Q580" s="4"/>
      <c r="R580" s="4"/>
      <c r="S580" s="4"/>
      <c r="T580" s="4"/>
      <c r="U580" s="4"/>
      <c r="V580" s="4"/>
      <c r="X580" s="4"/>
      <c r="Y580" s="4"/>
      <c r="AA580" s="4"/>
      <c r="AB580" s="4"/>
      <c r="AC580" s="4"/>
      <c r="AD580" s="20"/>
    </row>
    <row r="581" spans="14:30" x14ac:dyDescent="0.25">
      <c r="N581" s="9"/>
      <c r="P581" s="33"/>
      <c r="Q581" s="4"/>
      <c r="R581" s="4"/>
      <c r="S581" s="4"/>
      <c r="T581" s="4"/>
      <c r="U581" s="4"/>
      <c r="V581" s="4"/>
      <c r="X581" s="4"/>
      <c r="Y581" s="4"/>
      <c r="AA581" s="4"/>
      <c r="AB581" s="4"/>
      <c r="AC581" s="4"/>
      <c r="AD581" s="20"/>
    </row>
    <row r="582" spans="14:30" x14ac:dyDescent="0.25">
      <c r="N582" s="9"/>
      <c r="P582" s="33"/>
      <c r="Q582" s="4"/>
      <c r="R582" s="4"/>
      <c r="S582" s="4"/>
      <c r="T582" s="4"/>
      <c r="U582" s="4"/>
      <c r="V582" s="4"/>
      <c r="X582" s="4"/>
      <c r="Y582" s="4"/>
      <c r="AA582" s="4"/>
      <c r="AB582" s="4"/>
      <c r="AC582" s="4"/>
      <c r="AD582" s="20"/>
    </row>
    <row r="583" spans="14:30" x14ac:dyDescent="0.25">
      <c r="N583" s="9"/>
      <c r="P583" s="33"/>
      <c r="Q583" s="4"/>
      <c r="R583" s="4"/>
      <c r="S583" s="4"/>
      <c r="T583" s="4"/>
      <c r="U583" s="4"/>
      <c r="V583" s="4"/>
      <c r="X583" s="4"/>
      <c r="Y583" s="4"/>
      <c r="AA583" s="4"/>
      <c r="AB583" s="4"/>
      <c r="AC583" s="4"/>
      <c r="AD583" s="20"/>
    </row>
    <row r="584" spans="14:30" x14ac:dyDescent="0.25">
      <c r="N584" s="9"/>
      <c r="P584" s="33"/>
      <c r="Q584" s="4"/>
      <c r="R584" s="4"/>
      <c r="S584" s="4"/>
      <c r="T584" s="4"/>
      <c r="U584" s="4"/>
      <c r="V584" s="4"/>
      <c r="X584" s="4"/>
      <c r="Y584" s="4"/>
      <c r="AA584" s="4"/>
      <c r="AB584" s="4"/>
      <c r="AC584" s="4"/>
      <c r="AD584" s="20"/>
    </row>
    <row r="585" spans="14:30" x14ac:dyDescent="0.25">
      <c r="N585" s="9"/>
      <c r="P585" s="33"/>
      <c r="Q585" s="4"/>
      <c r="R585" s="4"/>
      <c r="S585" s="4"/>
      <c r="T585" s="4"/>
      <c r="U585" s="4"/>
      <c r="V585" s="4"/>
      <c r="X585" s="4"/>
      <c r="Y585" s="4"/>
      <c r="AA585" s="4"/>
      <c r="AB585" s="4"/>
      <c r="AC585" s="4"/>
      <c r="AD585" s="20"/>
    </row>
    <row r="586" spans="14:30" x14ac:dyDescent="0.25">
      <c r="N586" s="9"/>
      <c r="P586" s="33"/>
      <c r="Q586" s="4"/>
      <c r="R586" s="4"/>
      <c r="S586" s="4"/>
      <c r="T586" s="4"/>
      <c r="U586" s="4"/>
      <c r="V586" s="4"/>
      <c r="X586" s="4"/>
      <c r="Y586" s="4"/>
      <c r="AA586" s="4"/>
      <c r="AB586" s="4"/>
      <c r="AC586" s="4"/>
      <c r="AD586" s="20"/>
    </row>
    <row r="587" spans="14:30" x14ac:dyDescent="0.25">
      <c r="N587" s="9"/>
      <c r="P587" s="33"/>
      <c r="Q587" s="4"/>
      <c r="R587" s="4"/>
      <c r="S587" s="4"/>
      <c r="T587" s="4"/>
      <c r="U587" s="4"/>
      <c r="V587" s="4"/>
      <c r="X587" s="4"/>
      <c r="Y587" s="4"/>
      <c r="AA587" s="4"/>
      <c r="AB587" s="4"/>
      <c r="AC587" s="4"/>
      <c r="AD587" s="20"/>
    </row>
    <row r="588" spans="14:30" x14ac:dyDescent="0.25">
      <c r="N588" s="9"/>
      <c r="P588" s="33"/>
      <c r="Q588" s="4"/>
      <c r="R588" s="4"/>
      <c r="S588" s="4"/>
      <c r="T588" s="4"/>
      <c r="U588" s="4"/>
      <c r="V588" s="4"/>
      <c r="X588" s="4"/>
      <c r="Y588" s="4"/>
      <c r="AA588" s="4"/>
      <c r="AB588" s="4"/>
      <c r="AC588" s="4"/>
      <c r="AD588" s="20"/>
    </row>
    <row r="589" spans="14:30" x14ac:dyDescent="0.25">
      <c r="N589" s="9"/>
      <c r="P589" s="33"/>
      <c r="Q589" s="4"/>
      <c r="R589" s="4"/>
      <c r="S589" s="4"/>
      <c r="T589" s="4"/>
      <c r="U589" s="4"/>
      <c r="V589" s="4"/>
      <c r="X589" s="4"/>
      <c r="Y589" s="4"/>
      <c r="AA589" s="4"/>
      <c r="AB589" s="4"/>
      <c r="AC589" s="4"/>
      <c r="AD589" s="20"/>
    </row>
    <row r="590" spans="14:30" x14ac:dyDescent="0.25">
      <c r="N590" s="9"/>
      <c r="P590" s="33"/>
      <c r="Q590" s="4"/>
      <c r="R590" s="4"/>
      <c r="S590" s="4"/>
      <c r="T590" s="4"/>
      <c r="U590" s="4"/>
      <c r="V590" s="4"/>
      <c r="X590" s="4"/>
      <c r="Y590" s="4"/>
      <c r="AA590" s="4"/>
      <c r="AB590" s="4"/>
      <c r="AC590" s="4"/>
      <c r="AD590" s="20"/>
    </row>
    <row r="591" spans="14:30" x14ac:dyDescent="0.25">
      <c r="N591" s="9"/>
      <c r="P591" s="33"/>
      <c r="Q591" s="4"/>
      <c r="R591" s="4"/>
      <c r="S591" s="4"/>
      <c r="T591" s="4"/>
      <c r="U591" s="4"/>
      <c r="V591" s="4"/>
      <c r="X591" s="4"/>
      <c r="Y591" s="4"/>
      <c r="AA591" s="4"/>
      <c r="AB591" s="4"/>
      <c r="AC591" s="4"/>
      <c r="AD591" s="20"/>
    </row>
    <row r="592" spans="14:30" x14ac:dyDescent="0.25">
      <c r="N592" s="9"/>
      <c r="P592" s="33"/>
      <c r="Q592" s="4"/>
      <c r="R592" s="4"/>
      <c r="S592" s="4"/>
      <c r="T592" s="4"/>
      <c r="U592" s="4"/>
      <c r="V592" s="4"/>
      <c r="X592" s="4"/>
      <c r="Y592" s="4"/>
      <c r="AA592" s="4"/>
      <c r="AB592" s="4"/>
      <c r="AC592" s="4"/>
      <c r="AD592" s="20"/>
    </row>
    <row r="593" spans="14:30" x14ac:dyDescent="0.25">
      <c r="N593" s="9"/>
      <c r="P593" s="33"/>
      <c r="Q593" s="4"/>
      <c r="R593" s="4"/>
      <c r="S593" s="4"/>
      <c r="T593" s="4"/>
      <c r="U593" s="4"/>
      <c r="V593" s="4"/>
      <c r="X593" s="4"/>
      <c r="Y593" s="4"/>
      <c r="AA593" s="4"/>
      <c r="AB593" s="4"/>
      <c r="AC593" s="4"/>
      <c r="AD593" s="20"/>
    </row>
    <row r="594" spans="14:30" x14ac:dyDescent="0.25">
      <c r="N594" s="9"/>
      <c r="P594" s="33"/>
      <c r="Q594" s="4"/>
      <c r="R594" s="4"/>
      <c r="S594" s="4"/>
      <c r="T594" s="4"/>
      <c r="U594" s="4"/>
      <c r="V594" s="4"/>
      <c r="X594" s="4"/>
      <c r="Y594" s="4"/>
      <c r="AA594" s="4"/>
      <c r="AB594" s="4"/>
      <c r="AC594" s="4"/>
      <c r="AD594" s="20"/>
    </row>
    <row r="595" spans="14:30" x14ac:dyDescent="0.25">
      <c r="N595" s="9"/>
      <c r="P595" s="33"/>
      <c r="Q595" s="4"/>
      <c r="R595" s="4"/>
      <c r="S595" s="4"/>
      <c r="T595" s="4"/>
      <c r="U595" s="4"/>
      <c r="V595" s="4"/>
      <c r="X595" s="4"/>
      <c r="Y595" s="4"/>
      <c r="AA595" s="4"/>
      <c r="AB595" s="4"/>
      <c r="AC595" s="4"/>
      <c r="AD595" s="20"/>
    </row>
    <row r="596" spans="14:30" x14ac:dyDescent="0.25">
      <c r="N596" s="9"/>
      <c r="P596" s="33"/>
      <c r="Q596" s="4"/>
      <c r="R596" s="4"/>
      <c r="S596" s="4"/>
      <c r="T596" s="4"/>
      <c r="U596" s="4"/>
      <c r="V596" s="4"/>
      <c r="X596" s="4"/>
      <c r="Y596" s="4"/>
      <c r="AA596" s="4"/>
      <c r="AB596" s="4"/>
      <c r="AC596" s="4"/>
      <c r="AD596" s="20"/>
    </row>
    <row r="597" spans="14:30" x14ac:dyDescent="0.25">
      <c r="N597" s="9"/>
      <c r="P597" s="33"/>
      <c r="Q597" s="4"/>
      <c r="R597" s="4"/>
      <c r="S597" s="4"/>
      <c r="T597" s="4"/>
      <c r="U597" s="4"/>
      <c r="V597" s="4"/>
      <c r="X597" s="4"/>
      <c r="Y597" s="4"/>
      <c r="AA597" s="4"/>
      <c r="AB597" s="4"/>
      <c r="AC597" s="4"/>
      <c r="AD597" s="20"/>
    </row>
    <row r="598" spans="14:30" x14ac:dyDescent="0.25">
      <c r="N598" s="9"/>
      <c r="P598" s="33"/>
      <c r="Q598" s="4"/>
      <c r="R598" s="4"/>
      <c r="S598" s="4"/>
      <c r="T598" s="4"/>
      <c r="U598" s="4"/>
      <c r="V598" s="4"/>
      <c r="X598" s="4"/>
      <c r="Y598" s="4"/>
      <c r="AA598" s="4"/>
      <c r="AB598" s="4"/>
      <c r="AC598" s="4"/>
      <c r="AD598" s="20"/>
    </row>
    <row r="599" spans="14:30" x14ac:dyDescent="0.25">
      <c r="N599" s="9"/>
      <c r="P599" s="33"/>
      <c r="Q599" s="4"/>
      <c r="R599" s="4"/>
      <c r="S599" s="4"/>
      <c r="T599" s="4"/>
      <c r="U599" s="4"/>
      <c r="V599" s="4"/>
      <c r="X599" s="4"/>
      <c r="Y599" s="4"/>
      <c r="AA599" s="4"/>
      <c r="AB599" s="4"/>
      <c r="AC599" s="4"/>
      <c r="AD599" s="20"/>
    </row>
    <row r="600" spans="14:30" x14ac:dyDescent="0.25">
      <c r="N600" s="9"/>
      <c r="P600" s="33"/>
      <c r="Q600" s="4"/>
      <c r="R600" s="4"/>
      <c r="S600" s="4"/>
      <c r="T600" s="4"/>
      <c r="U600" s="4"/>
      <c r="V600" s="4"/>
      <c r="X600" s="4"/>
      <c r="Y600" s="4"/>
      <c r="AA600" s="4"/>
      <c r="AB600" s="4"/>
      <c r="AC600" s="4"/>
      <c r="AD600" s="20"/>
    </row>
    <row r="601" spans="14:30" x14ac:dyDescent="0.25">
      <c r="N601" s="9"/>
      <c r="P601" s="33"/>
      <c r="Q601" s="4"/>
      <c r="R601" s="4"/>
      <c r="S601" s="4"/>
      <c r="T601" s="4"/>
      <c r="U601" s="4"/>
      <c r="V601" s="4"/>
      <c r="X601" s="4"/>
      <c r="Y601" s="4"/>
      <c r="AA601" s="4"/>
      <c r="AB601" s="4"/>
      <c r="AC601" s="4"/>
      <c r="AD601" s="20"/>
    </row>
    <row r="602" spans="14:30" x14ac:dyDescent="0.25">
      <c r="N602" s="9"/>
      <c r="P602" s="33"/>
      <c r="Q602" s="4"/>
      <c r="R602" s="4"/>
      <c r="S602" s="4"/>
      <c r="T602" s="4"/>
      <c r="U602" s="4"/>
      <c r="V602" s="4"/>
      <c r="X602" s="4"/>
      <c r="Y602" s="4"/>
      <c r="AA602" s="4"/>
      <c r="AB602" s="4"/>
      <c r="AC602" s="4"/>
      <c r="AD602" s="20"/>
    </row>
    <row r="603" spans="14:30" x14ac:dyDescent="0.25">
      <c r="N603" s="9"/>
      <c r="P603" s="33"/>
      <c r="Q603" s="4"/>
      <c r="R603" s="4"/>
      <c r="S603" s="4"/>
      <c r="T603" s="4"/>
      <c r="U603" s="4"/>
      <c r="V603" s="4"/>
      <c r="X603" s="4"/>
      <c r="Y603" s="4"/>
      <c r="AA603" s="4"/>
      <c r="AB603" s="4"/>
      <c r="AC603" s="4"/>
      <c r="AD603" s="20"/>
    </row>
    <row r="604" spans="14:30" x14ac:dyDescent="0.25">
      <c r="N604" s="9"/>
      <c r="P604" s="33"/>
      <c r="Q604" s="4"/>
      <c r="R604" s="4"/>
      <c r="S604" s="4"/>
      <c r="T604" s="4"/>
      <c r="U604" s="4"/>
      <c r="V604" s="4"/>
      <c r="X604" s="4"/>
      <c r="Y604" s="4"/>
      <c r="AA604" s="4"/>
      <c r="AB604" s="4"/>
      <c r="AC604" s="4"/>
      <c r="AD604" s="20"/>
    </row>
    <row r="605" spans="14:30" x14ac:dyDescent="0.25">
      <c r="N605" s="9"/>
      <c r="P605" s="33"/>
      <c r="Q605" s="4"/>
      <c r="R605" s="4"/>
      <c r="S605" s="4"/>
      <c r="T605" s="4"/>
      <c r="U605" s="4"/>
      <c r="V605" s="4"/>
      <c r="X605" s="4"/>
      <c r="Y605" s="4"/>
      <c r="AA605" s="4"/>
      <c r="AB605" s="4"/>
      <c r="AC605" s="4"/>
      <c r="AD605" s="20"/>
    </row>
    <row r="606" spans="14:30" x14ac:dyDescent="0.25">
      <c r="N606" s="9"/>
      <c r="P606" s="33"/>
      <c r="Q606" s="4"/>
      <c r="R606" s="4"/>
      <c r="S606" s="4"/>
      <c r="T606" s="4"/>
      <c r="U606" s="4"/>
      <c r="V606" s="4"/>
      <c r="X606" s="4"/>
      <c r="Y606" s="4"/>
      <c r="AA606" s="4"/>
      <c r="AB606" s="4"/>
      <c r="AC606" s="4"/>
      <c r="AD606" s="20"/>
    </row>
    <row r="607" spans="14:30" x14ac:dyDescent="0.25">
      <c r="N607" s="9"/>
      <c r="P607" s="33"/>
      <c r="Q607" s="4"/>
      <c r="R607" s="4"/>
      <c r="S607" s="4"/>
      <c r="T607" s="4"/>
      <c r="U607" s="4"/>
      <c r="V607" s="4"/>
      <c r="X607" s="4"/>
      <c r="Y607" s="4"/>
      <c r="AA607" s="4"/>
      <c r="AB607" s="4"/>
      <c r="AC607" s="4"/>
      <c r="AD607" s="20"/>
    </row>
    <row r="608" spans="14:30" x14ac:dyDescent="0.25">
      <c r="N608" s="9"/>
      <c r="P608" s="33"/>
      <c r="Q608" s="4"/>
      <c r="R608" s="4"/>
      <c r="S608" s="4"/>
      <c r="T608" s="4"/>
      <c r="U608" s="4"/>
      <c r="V608" s="4"/>
      <c r="X608" s="4"/>
      <c r="Y608" s="4"/>
      <c r="AA608" s="4"/>
      <c r="AB608" s="4"/>
      <c r="AC608" s="4"/>
      <c r="AD608" s="20"/>
    </row>
    <row r="609" spans="14:30" x14ac:dyDescent="0.25">
      <c r="N609" s="9"/>
      <c r="P609" s="33"/>
      <c r="Q609" s="4"/>
      <c r="R609" s="4"/>
      <c r="S609" s="4"/>
      <c r="T609" s="4"/>
      <c r="U609" s="4"/>
      <c r="V609" s="4"/>
      <c r="X609" s="4"/>
      <c r="Y609" s="4"/>
      <c r="AA609" s="4"/>
      <c r="AB609" s="4"/>
      <c r="AC609" s="4"/>
      <c r="AD609" s="20"/>
    </row>
    <row r="610" spans="14:30" x14ac:dyDescent="0.25">
      <c r="N610" s="9"/>
      <c r="P610" s="33"/>
      <c r="Q610" s="4"/>
      <c r="R610" s="4"/>
      <c r="S610" s="4"/>
      <c r="T610" s="4"/>
      <c r="U610" s="4"/>
      <c r="V610" s="4"/>
      <c r="X610" s="4"/>
      <c r="Y610" s="4"/>
      <c r="AA610" s="4"/>
      <c r="AB610" s="4"/>
      <c r="AC610" s="4"/>
      <c r="AD610" s="20"/>
    </row>
    <row r="611" spans="14:30" x14ac:dyDescent="0.25">
      <c r="N611" s="9"/>
      <c r="P611" s="33"/>
      <c r="Q611" s="4"/>
      <c r="R611" s="4"/>
      <c r="S611" s="4"/>
      <c r="T611" s="4"/>
      <c r="U611" s="4"/>
      <c r="V611" s="4"/>
      <c r="X611" s="4"/>
      <c r="Y611" s="4"/>
      <c r="AA611" s="4"/>
      <c r="AB611" s="4"/>
      <c r="AC611" s="4"/>
      <c r="AD611" s="20"/>
    </row>
    <row r="612" spans="14:30" x14ac:dyDescent="0.25">
      <c r="N612" s="9"/>
      <c r="P612" s="33"/>
      <c r="Q612" s="4"/>
      <c r="R612" s="4"/>
      <c r="S612" s="4"/>
      <c r="T612" s="4"/>
      <c r="U612" s="4"/>
      <c r="V612" s="4"/>
      <c r="X612" s="4"/>
      <c r="Y612" s="4"/>
      <c r="AA612" s="4"/>
      <c r="AB612" s="4"/>
      <c r="AC612" s="4"/>
      <c r="AD612" s="20"/>
    </row>
    <row r="613" spans="14:30" x14ac:dyDescent="0.25">
      <c r="N613" s="9"/>
      <c r="P613" s="33"/>
      <c r="Q613" s="4"/>
      <c r="R613" s="4"/>
      <c r="S613" s="4"/>
      <c r="T613" s="4"/>
      <c r="U613" s="4"/>
      <c r="V613" s="4"/>
      <c r="X613" s="4"/>
      <c r="Y613" s="4"/>
      <c r="AA613" s="4"/>
      <c r="AB613" s="4"/>
      <c r="AC613" s="4"/>
      <c r="AD613" s="20"/>
    </row>
    <row r="614" spans="14:30" x14ac:dyDescent="0.25">
      <c r="N614" s="9"/>
      <c r="P614" s="33"/>
      <c r="Q614" s="4"/>
      <c r="R614" s="4"/>
      <c r="S614" s="4"/>
      <c r="T614" s="4"/>
      <c r="U614" s="4"/>
      <c r="V614" s="4"/>
      <c r="X614" s="4"/>
      <c r="Y614" s="4"/>
      <c r="AA614" s="4"/>
      <c r="AB614" s="4"/>
      <c r="AC614" s="4"/>
      <c r="AD614" s="20"/>
    </row>
    <row r="615" spans="14:30" x14ac:dyDescent="0.25">
      <c r="N615" s="9"/>
      <c r="P615" s="33"/>
      <c r="Q615" s="4"/>
      <c r="R615" s="4"/>
      <c r="S615" s="4"/>
      <c r="T615" s="4"/>
      <c r="U615" s="4"/>
      <c r="V615" s="4"/>
      <c r="X615" s="4"/>
      <c r="Y615" s="4"/>
      <c r="AA615" s="4"/>
      <c r="AB615" s="4"/>
      <c r="AC615" s="4"/>
      <c r="AD615" s="20"/>
    </row>
    <row r="616" spans="14:30" x14ac:dyDescent="0.25">
      <c r="N616" s="9"/>
      <c r="P616" s="33"/>
      <c r="Q616" s="4"/>
      <c r="R616" s="4"/>
      <c r="S616" s="4"/>
      <c r="T616" s="4"/>
      <c r="U616" s="4"/>
      <c r="V616" s="4"/>
      <c r="X616" s="4"/>
      <c r="Y616" s="4"/>
      <c r="AA616" s="4"/>
      <c r="AB616" s="4"/>
      <c r="AC616" s="4"/>
      <c r="AD616" s="20"/>
    </row>
    <row r="617" spans="14:30" x14ac:dyDescent="0.25">
      <c r="N617" s="9"/>
      <c r="P617" s="33"/>
      <c r="Q617" s="4"/>
      <c r="R617" s="4"/>
      <c r="S617" s="4"/>
      <c r="T617" s="4"/>
      <c r="U617" s="4"/>
      <c r="V617" s="4"/>
      <c r="X617" s="4"/>
      <c r="Y617" s="4"/>
      <c r="AA617" s="4"/>
      <c r="AB617" s="4"/>
      <c r="AC617" s="4"/>
      <c r="AD617" s="20"/>
    </row>
    <row r="618" spans="14:30" x14ac:dyDescent="0.25">
      <c r="N618" s="9"/>
      <c r="P618" s="33"/>
      <c r="Q618" s="4"/>
      <c r="R618" s="4"/>
      <c r="S618" s="4"/>
      <c r="T618" s="4"/>
      <c r="U618" s="4"/>
      <c r="V618" s="4"/>
      <c r="X618" s="4"/>
      <c r="Y618" s="4"/>
      <c r="AA618" s="4"/>
      <c r="AB618" s="4"/>
      <c r="AC618" s="4"/>
      <c r="AD618" s="20"/>
    </row>
    <row r="619" spans="14:30" x14ac:dyDescent="0.25">
      <c r="N619" s="9"/>
      <c r="P619" s="33"/>
      <c r="Q619" s="4"/>
      <c r="R619" s="4"/>
      <c r="S619" s="4"/>
      <c r="T619" s="4"/>
      <c r="U619" s="4"/>
      <c r="V619" s="4"/>
      <c r="X619" s="4"/>
      <c r="Y619" s="4"/>
      <c r="AA619" s="4"/>
      <c r="AB619" s="4"/>
      <c r="AC619" s="4"/>
      <c r="AD619" s="20"/>
    </row>
    <row r="620" spans="14:30" x14ac:dyDescent="0.25">
      <c r="N620" s="9"/>
      <c r="P620" s="33"/>
      <c r="Q620" s="4"/>
      <c r="R620" s="4"/>
      <c r="S620" s="4"/>
      <c r="T620" s="4"/>
      <c r="U620" s="4"/>
      <c r="V620" s="4"/>
      <c r="X620" s="4"/>
      <c r="Y620" s="4"/>
      <c r="AA620" s="4"/>
      <c r="AB620" s="4"/>
      <c r="AC620" s="4"/>
      <c r="AD620" s="20"/>
    </row>
    <row r="621" spans="14:30" x14ac:dyDescent="0.25">
      <c r="N621" s="9"/>
      <c r="P621" s="33"/>
      <c r="Q621" s="4"/>
      <c r="R621" s="4"/>
      <c r="S621" s="4"/>
      <c r="T621" s="4"/>
      <c r="U621" s="4"/>
      <c r="V621" s="4"/>
      <c r="X621" s="4"/>
      <c r="Y621" s="4"/>
      <c r="AA621" s="4"/>
      <c r="AB621" s="4"/>
      <c r="AC621" s="4"/>
      <c r="AD621" s="20"/>
    </row>
    <row r="622" spans="14:30" x14ac:dyDescent="0.25">
      <c r="N622" s="9"/>
      <c r="P622" s="33"/>
      <c r="Q622" s="4"/>
      <c r="R622" s="4"/>
      <c r="S622" s="4"/>
      <c r="T622" s="4"/>
      <c r="U622" s="4"/>
      <c r="V622" s="4"/>
      <c r="X622" s="4"/>
      <c r="Y622" s="4"/>
      <c r="AA622" s="4"/>
      <c r="AB622" s="4"/>
      <c r="AC622" s="4"/>
      <c r="AD622" s="20"/>
    </row>
    <row r="623" spans="14:30" x14ac:dyDescent="0.25">
      <c r="N623" s="9"/>
      <c r="P623" s="33"/>
      <c r="Q623" s="4"/>
      <c r="R623" s="4"/>
      <c r="S623" s="4"/>
      <c r="T623" s="4"/>
      <c r="U623" s="4"/>
      <c r="V623" s="4"/>
      <c r="X623" s="4"/>
      <c r="Y623" s="4"/>
      <c r="AA623" s="4"/>
      <c r="AB623" s="4"/>
      <c r="AC623" s="4"/>
      <c r="AD623" s="20"/>
    </row>
    <row r="624" spans="14:30" x14ac:dyDescent="0.25">
      <c r="N624" s="9"/>
      <c r="P624" s="33"/>
      <c r="Q624" s="4"/>
      <c r="R624" s="4"/>
      <c r="S624" s="4"/>
      <c r="T624" s="4"/>
      <c r="U624" s="4"/>
      <c r="V624" s="4"/>
      <c r="X624" s="4"/>
      <c r="Y624" s="4"/>
      <c r="AA624" s="4"/>
      <c r="AB624" s="4"/>
      <c r="AC624" s="4"/>
      <c r="AD624" s="20"/>
    </row>
    <row r="625" spans="14:30" x14ac:dyDescent="0.25">
      <c r="N625" s="9"/>
      <c r="P625" s="33"/>
      <c r="Q625" s="4"/>
      <c r="R625" s="4"/>
      <c r="S625" s="4"/>
      <c r="T625" s="4"/>
      <c r="U625" s="4"/>
      <c r="V625" s="4"/>
      <c r="X625" s="4"/>
      <c r="Y625" s="4"/>
      <c r="AA625" s="4"/>
      <c r="AB625" s="4"/>
      <c r="AC625" s="4"/>
      <c r="AD625" s="20"/>
    </row>
    <row r="626" spans="14:30" x14ac:dyDescent="0.25">
      <c r="N626" s="9"/>
      <c r="P626" s="33"/>
      <c r="Q626" s="4"/>
      <c r="R626" s="4"/>
      <c r="S626" s="4"/>
      <c r="T626" s="4"/>
      <c r="U626" s="4"/>
      <c r="V626" s="4"/>
      <c r="X626" s="4"/>
      <c r="Y626" s="4"/>
      <c r="AA626" s="4"/>
      <c r="AB626" s="4"/>
      <c r="AC626" s="4"/>
      <c r="AD626" s="20"/>
    </row>
    <row r="627" spans="14:30" x14ac:dyDescent="0.25">
      <c r="N627" s="9"/>
      <c r="P627" s="33"/>
      <c r="Q627" s="4"/>
      <c r="R627" s="4"/>
      <c r="S627" s="4"/>
      <c r="T627" s="4"/>
      <c r="U627" s="4"/>
      <c r="V627" s="4"/>
      <c r="X627" s="4"/>
      <c r="Y627" s="4"/>
      <c r="AA627" s="4"/>
      <c r="AB627" s="4"/>
      <c r="AC627" s="4"/>
      <c r="AD627" s="20"/>
    </row>
    <row r="628" spans="14:30" x14ac:dyDescent="0.25">
      <c r="N628" s="9"/>
      <c r="P628" s="33"/>
      <c r="Q628" s="4"/>
      <c r="R628" s="4"/>
      <c r="S628" s="4"/>
      <c r="T628" s="4"/>
      <c r="U628" s="4"/>
      <c r="V628" s="4"/>
      <c r="X628" s="4"/>
      <c r="Y628" s="4"/>
      <c r="AA628" s="4"/>
      <c r="AB628" s="4"/>
      <c r="AC628" s="4"/>
      <c r="AD628" s="20"/>
    </row>
    <row r="629" spans="14:30" x14ac:dyDescent="0.25">
      <c r="N629" s="9"/>
      <c r="P629" s="33"/>
      <c r="Q629" s="4"/>
      <c r="R629" s="4"/>
      <c r="S629" s="4"/>
      <c r="T629" s="4"/>
      <c r="U629" s="4"/>
      <c r="V629" s="4"/>
      <c r="X629" s="4"/>
      <c r="Y629" s="4"/>
      <c r="AA629" s="4"/>
      <c r="AB629" s="4"/>
      <c r="AC629" s="4"/>
      <c r="AD629" s="20"/>
    </row>
    <row r="630" spans="14:30" x14ac:dyDescent="0.25">
      <c r="N630" s="9"/>
      <c r="P630" s="33"/>
      <c r="Q630" s="4"/>
      <c r="R630" s="4"/>
      <c r="S630" s="4"/>
      <c r="T630" s="4"/>
      <c r="U630" s="4"/>
      <c r="V630" s="4"/>
      <c r="X630" s="4"/>
      <c r="Y630" s="4"/>
      <c r="AA630" s="4"/>
      <c r="AB630" s="4"/>
      <c r="AC630" s="4"/>
      <c r="AD630" s="20"/>
    </row>
    <row r="631" spans="14:30" x14ac:dyDescent="0.25">
      <c r="N631" s="9"/>
      <c r="P631" s="33"/>
      <c r="Q631" s="4"/>
      <c r="R631" s="4"/>
      <c r="S631" s="4"/>
      <c r="T631" s="4"/>
      <c r="U631" s="4"/>
      <c r="V631" s="4"/>
      <c r="X631" s="4"/>
      <c r="Y631" s="4"/>
      <c r="AA631" s="4"/>
      <c r="AB631" s="4"/>
      <c r="AC631" s="4"/>
      <c r="AD631" s="20"/>
    </row>
    <row r="632" spans="14:30" x14ac:dyDescent="0.25">
      <c r="N632" s="9"/>
      <c r="P632" s="33"/>
      <c r="Q632" s="4"/>
      <c r="R632" s="4"/>
      <c r="S632" s="4"/>
      <c r="T632" s="4"/>
      <c r="U632" s="4"/>
      <c r="V632" s="4"/>
      <c r="X632" s="4"/>
      <c r="Y632" s="4"/>
      <c r="AA632" s="4"/>
      <c r="AB632" s="4"/>
      <c r="AC632" s="4"/>
      <c r="AD632" s="20"/>
    </row>
    <row r="633" spans="14:30" x14ac:dyDescent="0.25">
      <c r="N633" s="9"/>
      <c r="P633" s="33"/>
      <c r="Q633" s="4"/>
      <c r="R633" s="4"/>
      <c r="S633" s="4"/>
      <c r="T633" s="4"/>
      <c r="U633" s="4"/>
      <c r="V633" s="4"/>
      <c r="X633" s="4"/>
      <c r="Y633" s="4"/>
      <c r="AA633" s="4"/>
      <c r="AB633" s="4"/>
      <c r="AC633" s="4"/>
      <c r="AD633" s="20"/>
    </row>
    <row r="634" spans="14:30" x14ac:dyDescent="0.25">
      <c r="N634" s="9"/>
      <c r="P634" s="33"/>
      <c r="Q634" s="4"/>
      <c r="R634" s="4"/>
      <c r="S634" s="4"/>
      <c r="T634" s="4"/>
      <c r="U634" s="4"/>
      <c r="V634" s="4"/>
      <c r="X634" s="4"/>
      <c r="Y634" s="4"/>
      <c r="AA634" s="4"/>
      <c r="AB634" s="4"/>
      <c r="AC634" s="4"/>
      <c r="AD634" s="20"/>
    </row>
    <row r="635" spans="14:30" x14ac:dyDescent="0.25">
      <c r="N635" s="9"/>
      <c r="P635" s="33"/>
      <c r="Q635" s="4"/>
      <c r="R635" s="4"/>
      <c r="S635" s="4"/>
      <c r="T635" s="4"/>
      <c r="U635" s="4"/>
      <c r="V635" s="4"/>
      <c r="X635" s="4"/>
      <c r="Y635" s="4"/>
      <c r="AA635" s="4"/>
      <c r="AB635" s="4"/>
      <c r="AC635" s="4"/>
      <c r="AD635" s="20"/>
    </row>
    <row r="636" spans="14:30" x14ac:dyDescent="0.25">
      <c r="N636" s="9"/>
      <c r="P636" s="33"/>
      <c r="Q636" s="4"/>
      <c r="R636" s="4"/>
      <c r="S636" s="4"/>
      <c r="T636" s="4"/>
      <c r="U636" s="4"/>
      <c r="V636" s="4"/>
      <c r="X636" s="4"/>
      <c r="Y636" s="4"/>
      <c r="AA636" s="4"/>
      <c r="AB636" s="4"/>
      <c r="AC636" s="4"/>
      <c r="AD636" s="20"/>
    </row>
    <row r="637" spans="14:30" x14ac:dyDescent="0.25">
      <c r="N637" s="9"/>
      <c r="P637" s="33"/>
      <c r="Q637" s="4"/>
      <c r="R637" s="4"/>
      <c r="S637" s="4"/>
      <c r="T637" s="4"/>
      <c r="U637" s="4"/>
      <c r="V637" s="4"/>
      <c r="X637" s="4"/>
      <c r="Y637" s="4"/>
      <c r="AA637" s="4"/>
      <c r="AB637" s="4"/>
      <c r="AC637" s="4"/>
      <c r="AD637" s="20"/>
    </row>
    <row r="638" spans="14:30" x14ac:dyDescent="0.25">
      <c r="N638" s="9"/>
      <c r="P638" s="33"/>
      <c r="Q638" s="4"/>
      <c r="R638" s="4"/>
      <c r="S638" s="4"/>
      <c r="T638" s="4"/>
      <c r="U638" s="4"/>
      <c r="V638" s="4"/>
      <c r="X638" s="4"/>
      <c r="Y638" s="4"/>
      <c r="AA638" s="4"/>
      <c r="AB638" s="4"/>
      <c r="AC638" s="4"/>
      <c r="AD638" s="20"/>
    </row>
    <row r="639" spans="14:30" x14ac:dyDescent="0.25">
      <c r="N639" s="9"/>
      <c r="P639" s="33"/>
      <c r="Q639" s="4"/>
      <c r="R639" s="4"/>
      <c r="S639" s="4"/>
      <c r="T639" s="4"/>
      <c r="U639" s="4"/>
      <c r="V639" s="4"/>
      <c r="X639" s="4"/>
      <c r="Y639" s="4"/>
      <c r="AA639" s="4"/>
      <c r="AB639" s="4"/>
      <c r="AC639" s="4"/>
      <c r="AD639" s="20"/>
    </row>
    <row r="640" spans="14:30" x14ac:dyDescent="0.25">
      <c r="N640" s="9"/>
      <c r="P640" s="33"/>
      <c r="Q640" s="4"/>
      <c r="R640" s="4"/>
      <c r="S640" s="4"/>
      <c r="T640" s="4"/>
      <c r="U640" s="4"/>
      <c r="V640" s="4"/>
      <c r="X640" s="4"/>
      <c r="Y640" s="4"/>
      <c r="AA640" s="4"/>
      <c r="AB640" s="4"/>
      <c r="AC640" s="4"/>
      <c r="AD640" s="20"/>
    </row>
    <row r="641" spans="14:30" x14ac:dyDescent="0.25">
      <c r="N641" s="9"/>
      <c r="P641" s="33"/>
      <c r="Q641" s="4"/>
      <c r="R641" s="4"/>
      <c r="S641" s="4"/>
      <c r="T641" s="4"/>
      <c r="U641" s="4"/>
      <c r="V641" s="4"/>
      <c r="X641" s="4"/>
      <c r="Y641" s="4"/>
      <c r="AA641" s="4"/>
      <c r="AB641" s="4"/>
      <c r="AC641" s="4"/>
      <c r="AD641" s="20"/>
    </row>
    <row r="642" spans="14:30" x14ac:dyDescent="0.25">
      <c r="N642" s="9"/>
      <c r="P642" s="33"/>
      <c r="Q642" s="4"/>
      <c r="R642" s="4"/>
      <c r="S642" s="4"/>
      <c r="T642" s="4"/>
      <c r="U642" s="4"/>
      <c r="V642" s="4"/>
      <c r="X642" s="4"/>
      <c r="Y642" s="4"/>
      <c r="AA642" s="4"/>
      <c r="AB642" s="4"/>
      <c r="AC642" s="4"/>
      <c r="AD642" s="20"/>
    </row>
    <row r="643" spans="14:30" x14ac:dyDescent="0.25">
      <c r="N643" s="9"/>
      <c r="P643" s="33"/>
      <c r="Q643" s="4"/>
      <c r="R643" s="4"/>
      <c r="S643" s="4"/>
      <c r="T643" s="4"/>
      <c r="U643" s="4"/>
      <c r="V643" s="4"/>
      <c r="X643" s="4"/>
      <c r="Y643" s="4"/>
      <c r="AA643" s="4"/>
      <c r="AB643" s="4"/>
      <c r="AC643" s="4"/>
      <c r="AD643" s="20"/>
    </row>
    <row r="644" spans="14:30" x14ac:dyDescent="0.25">
      <c r="N644" s="9"/>
      <c r="P644" s="33"/>
      <c r="Q644" s="4"/>
      <c r="R644" s="4"/>
      <c r="S644" s="4"/>
      <c r="T644" s="4"/>
      <c r="U644" s="4"/>
      <c r="V644" s="4"/>
      <c r="X644" s="4"/>
      <c r="Y644" s="4"/>
      <c r="AA644" s="4"/>
      <c r="AB644" s="4"/>
      <c r="AC644" s="4"/>
      <c r="AD644" s="20"/>
    </row>
    <row r="645" spans="14:30" x14ac:dyDescent="0.25">
      <c r="N645" s="9"/>
      <c r="P645" s="33"/>
      <c r="Q645" s="4"/>
      <c r="R645" s="4"/>
      <c r="S645" s="4"/>
      <c r="T645" s="4"/>
      <c r="U645" s="4"/>
      <c r="V645" s="4"/>
      <c r="X645" s="4"/>
      <c r="Y645" s="4"/>
      <c r="AA645" s="4"/>
      <c r="AB645" s="4"/>
      <c r="AC645" s="4"/>
      <c r="AD645" s="20"/>
    </row>
    <row r="646" spans="14:30" x14ac:dyDescent="0.25">
      <c r="N646" s="9"/>
      <c r="P646" s="33"/>
      <c r="Q646" s="4"/>
      <c r="R646" s="4"/>
      <c r="S646" s="4"/>
      <c r="T646" s="4"/>
      <c r="U646" s="4"/>
      <c r="V646" s="4"/>
      <c r="X646" s="4"/>
      <c r="Y646" s="4"/>
      <c r="AA646" s="4"/>
      <c r="AB646" s="4"/>
      <c r="AC646" s="4"/>
      <c r="AD646" s="20"/>
    </row>
    <row r="647" spans="14:30" x14ac:dyDescent="0.25">
      <c r="N647" s="9"/>
      <c r="P647" s="33"/>
      <c r="Q647" s="4"/>
      <c r="R647" s="4"/>
      <c r="S647" s="4"/>
      <c r="T647" s="4"/>
      <c r="U647" s="4"/>
      <c r="V647" s="4"/>
      <c r="X647" s="4"/>
      <c r="Y647" s="4"/>
      <c r="AA647" s="4"/>
      <c r="AB647" s="4"/>
      <c r="AC647" s="4"/>
      <c r="AD647" s="20"/>
    </row>
    <row r="648" spans="14:30" x14ac:dyDescent="0.25">
      <c r="N648" s="9"/>
      <c r="P648" s="33"/>
      <c r="Q648" s="4"/>
      <c r="R648" s="4"/>
      <c r="S648" s="4"/>
      <c r="T648" s="4"/>
      <c r="U648" s="4"/>
      <c r="V648" s="4"/>
      <c r="X648" s="4"/>
      <c r="Y648" s="4"/>
      <c r="AA648" s="4"/>
      <c r="AB648" s="4"/>
      <c r="AC648" s="4"/>
      <c r="AD648" s="20"/>
    </row>
    <row r="649" spans="14:30" x14ac:dyDescent="0.25">
      <c r="N649" s="9"/>
      <c r="P649" s="33"/>
      <c r="Q649" s="4"/>
      <c r="R649" s="4"/>
      <c r="S649" s="4"/>
      <c r="T649" s="4"/>
      <c r="U649" s="4"/>
      <c r="V649" s="4"/>
      <c r="X649" s="4"/>
      <c r="Y649" s="4"/>
      <c r="AA649" s="4"/>
      <c r="AB649" s="4"/>
      <c r="AC649" s="4"/>
      <c r="AD649" s="20"/>
    </row>
    <row r="650" spans="14:30" x14ac:dyDescent="0.25">
      <c r="N650" s="9"/>
      <c r="P650" s="33"/>
      <c r="Q650" s="4"/>
      <c r="R650" s="4"/>
      <c r="S650" s="4"/>
      <c r="T650" s="4"/>
      <c r="U650" s="4"/>
      <c r="V650" s="4"/>
      <c r="X650" s="4"/>
      <c r="Y650" s="4"/>
      <c r="AA650" s="4"/>
      <c r="AB650" s="4"/>
      <c r="AC650" s="4"/>
      <c r="AD650" s="20"/>
    </row>
    <row r="651" spans="14:30" x14ac:dyDescent="0.25">
      <c r="N651" s="9"/>
      <c r="P651" s="33"/>
      <c r="Q651" s="4"/>
      <c r="R651" s="4"/>
      <c r="S651" s="4"/>
      <c r="T651" s="4"/>
      <c r="U651" s="4"/>
      <c r="V651" s="4"/>
      <c r="X651" s="4"/>
      <c r="Y651" s="4"/>
      <c r="AA651" s="4"/>
      <c r="AB651" s="4"/>
      <c r="AC651" s="4"/>
      <c r="AD651" s="20"/>
    </row>
    <row r="652" spans="14:30" x14ac:dyDescent="0.25">
      <c r="N652" s="9"/>
      <c r="P652" s="33"/>
      <c r="Q652" s="4"/>
      <c r="R652" s="4"/>
      <c r="S652" s="4"/>
      <c r="T652" s="4"/>
      <c r="U652" s="4"/>
      <c r="V652" s="4"/>
      <c r="X652" s="4"/>
      <c r="Y652" s="4"/>
      <c r="AA652" s="4"/>
      <c r="AB652" s="4"/>
      <c r="AC652" s="4"/>
      <c r="AD652" s="20"/>
    </row>
    <row r="653" spans="14:30" x14ac:dyDescent="0.25">
      <c r="N653" s="9"/>
      <c r="P653" s="33"/>
      <c r="Q653" s="4"/>
      <c r="R653" s="4"/>
      <c r="S653" s="4"/>
      <c r="T653" s="4"/>
      <c r="U653" s="4"/>
      <c r="V653" s="4"/>
      <c r="X653" s="4"/>
      <c r="Y653" s="4"/>
      <c r="AA653" s="4"/>
      <c r="AB653" s="4"/>
      <c r="AC653" s="4"/>
      <c r="AD653" s="20"/>
    </row>
    <row r="654" spans="14:30" x14ac:dyDescent="0.25">
      <c r="N654" s="9"/>
      <c r="P654" s="33"/>
      <c r="Q654" s="4"/>
      <c r="R654" s="4"/>
      <c r="S654" s="4"/>
      <c r="T654" s="4"/>
      <c r="U654" s="4"/>
      <c r="V654" s="4"/>
      <c r="X654" s="4"/>
      <c r="Y654" s="4"/>
      <c r="AA654" s="4"/>
      <c r="AB654" s="4"/>
      <c r="AC654" s="4"/>
      <c r="AD654" s="20"/>
    </row>
    <row r="655" spans="14:30" x14ac:dyDescent="0.25">
      <c r="N655" s="9"/>
      <c r="P655" s="33"/>
      <c r="Q655" s="4"/>
      <c r="R655" s="4"/>
      <c r="S655" s="4"/>
      <c r="T655" s="4"/>
      <c r="U655" s="4"/>
      <c r="V655" s="4"/>
      <c r="X655" s="4"/>
      <c r="Y655" s="4"/>
      <c r="AA655" s="4"/>
      <c r="AB655" s="4"/>
      <c r="AC655" s="4"/>
      <c r="AD655" s="20"/>
    </row>
    <row r="656" spans="14:30" x14ac:dyDescent="0.25">
      <c r="N656" s="9"/>
      <c r="P656" s="33"/>
      <c r="Q656" s="4"/>
      <c r="R656" s="4"/>
      <c r="S656" s="4"/>
      <c r="T656" s="4"/>
      <c r="U656" s="4"/>
      <c r="V656" s="4"/>
      <c r="X656" s="4"/>
      <c r="Y656" s="4"/>
      <c r="AA656" s="4"/>
      <c r="AB656" s="4"/>
      <c r="AC656" s="4"/>
      <c r="AD656" s="20"/>
    </row>
    <row r="657" spans="14:30" x14ac:dyDescent="0.25">
      <c r="N657" s="9"/>
      <c r="P657" s="33"/>
      <c r="Q657" s="4"/>
      <c r="R657" s="4"/>
      <c r="S657" s="4"/>
      <c r="T657" s="4"/>
      <c r="U657" s="4"/>
      <c r="V657" s="4"/>
      <c r="X657" s="4"/>
      <c r="Y657" s="4"/>
      <c r="AA657" s="4"/>
      <c r="AB657" s="4"/>
      <c r="AC657" s="4"/>
      <c r="AD657" s="20"/>
    </row>
    <row r="658" spans="14:30" x14ac:dyDescent="0.25">
      <c r="N658" s="9"/>
      <c r="P658" s="33"/>
      <c r="Q658" s="4"/>
      <c r="R658" s="4"/>
      <c r="S658" s="4"/>
      <c r="T658" s="4"/>
      <c r="U658" s="4"/>
      <c r="V658" s="4"/>
      <c r="X658" s="4"/>
      <c r="Y658" s="4"/>
      <c r="AA658" s="4"/>
      <c r="AB658" s="4"/>
      <c r="AC658" s="4"/>
      <c r="AD658" s="20"/>
    </row>
    <row r="659" spans="14:30" x14ac:dyDescent="0.25">
      <c r="N659" s="9"/>
      <c r="P659" s="33"/>
      <c r="Q659" s="4"/>
      <c r="R659" s="4"/>
      <c r="S659" s="4"/>
      <c r="T659" s="4"/>
      <c r="U659" s="4"/>
      <c r="V659" s="4"/>
      <c r="X659" s="4"/>
      <c r="Y659" s="4"/>
      <c r="AA659" s="4"/>
      <c r="AB659" s="4"/>
      <c r="AC659" s="4"/>
      <c r="AD659" s="20"/>
    </row>
    <row r="660" spans="14:30" x14ac:dyDescent="0.25">
      <c r="N660" s="9"/>
      <c r="P660" s="33"/>
      <c r="Q660" s="4"/>
      <c r="R660" s="4"/>
      <c r="S660" s="4"/>
      <c r="T660" s="4"/>
      <c r="U660" s="4"/>
      <c r="V660" s="4"/>
      <c r="X660" s="4"/>
      <c r="Y660" s="4"/>
      <c r="AA660" s="4"/>
      <c r="AB660" s="4"/>
      <c r="AC660" s="4"/>
      <c r="AD660" s="20"/>
    </row>
    <row r="661" spans="14:30" x14ac:dyDescent="0.25">
      <c r="N661" s="9"/>
      <c r="P661" s="33"/>
      <c r="Q661" s="4"/>
      <c r="R661" s="4"/>
      <c r="S661" s="4"/>
      <c r="T661" s="4"/>
      <c r="U661" s="4"/>
      <c r="V661" s="4"/>
      <c r="X661" s="4"/>
      <c r="Y661" s="4"/>
      <c r="AA661" s="4"/>
      <c r="AB661" s="4"/>
      <c r="AC661" s="4"/>
      <c r="AD661" s="20"/>
    </row>
    <row r="662" spans="14:30" x14ac:dyDescent="0.25">
      <c r="N662" s="9"/>
      <c r="P662" s="33"/>
      <c r="Q662" s="4"/>
      <c r="R662" s="4"/>
      <c r="S662" s="4"/>
      <c r="T662" s="4"/>
      <c r="U662" s="4"/>
      <c r="V662" s="4"/>
      <c r="X662" s="4"/>
      <c r="Y662" s="4"/>
      <c r="AA662" s="4"/>
      <c r="AB662" s="4"/>
      <c r="AC662" s="4"/>
      <c r="AD662" s="20"/>
    </row>
    <row r="663" spans="14:30" x14ac:dyDescent="0.25">
      <c r="N663" s="9"/>
      <c r="P663" s="33"/>
      <c r="Q663" s="4"/>
      <c r="R663" s="4"/>
      <c r="S663" s="4"/>
      <c r="T663" s="4"/>
      <c r="U663" s="4"/>
      <c r="V663" s="4"/>
      <c r="X663" s="4"/>
      <c r="Y663" s="4"/>
      <c r="AA663" s="4"/>
      <c r="AB663" s="4"/>
      <c r="AC663" s="4"/>
      <c r="AD663" s="20"/>
    </row>
    <row r="664" spans="14:30" x14ac:dyDescent="0.25">
      <c r="N664" s="9"/>
      <c r="P664" s="33"/>
      <c r="Q664" s="4"/>
      <c r="R664" s="4"/>
      <c r="S664" s="4"/>
      <c r="T664" s="4"/>
      <c r="U664" s="4"/>
      <c r="V664" s="4"/>
      <c r="X664" s="4"/>
      <c r="Y664" s="4"/>
      <c r="AA664" s="4"/>
      <c r="AB664" s="4"/>
      <c r="AC664" s="4"/>
      <c r="AD664" s="20"/>
    </row>
    <row r="665" spans="14:30" x14ac:dyDescent="0.25">
      <c r="N665" s="9"/>
      <c r="P665" s="33"/>
      <c r="Q665" s="4"/>
      <c r="R665" s="4"/>
      <c r="S665" s="4"/>
      <c r="T665" s="4"/>
      <c r="U665" s="4"/>
      <c r="V665" s="4"/>
      <c r="X665" s="4"/>
      <c r="Y665" s="4"/>
      <c r="AA665" s="4"/>
      <c r="AB665" s="4"/>
      <c r="AC665" s="4"/>
      <c r="AD665" s="20"/>
    </row>
    <row r="666" spans="14:30" x14ac:dyDescent="0.25">
      <c r="N666" s="9"/>
      <c r="P666" s="33"/>
      <c r="Q666" s="4"/>
      <c r="R666" s="4"/>
      <c r="S666" s="4"/>
      <c r="T666" s="4"/>
      <c r="U666" s="4"/>
      <c r="V666" s="4"/>
      <c r="X666" s="4"/>
      <c r="Y666" s="4"/>
      <c r="AA666" s="4"/>
      <c r="AB666" s="4"/>
      <c r="AC666" s="4"/>
      <c r="AD666" s="20"/>
    </row>
    <row r="667" spans="14:30" x14ac:dyDescent="0.25">
      <c r="N667" s="9"/>
      <c r="P667" s="33"/>
      <c r="Q667" s="4"/>
      <c r="R667" s="4"/>
      <c r="S667" s="4"/>
      <c r="T667" s="4"/>
      <c r="U667" s="4"/>
      <c r="V667" s="4"/>
      <c r="X667" s="4"/>
      <c r="Y667" s="4"/>
      <c r="AA667" s="4"/>
      <c r="AB667" s="4"/>
      <c r="AC667" s="4"/>
      <c r="AD667" s="20"/>
    </row>
    <row r="668" spans="14:30" x14ac:dyDescent="0.25">
      <c r="N668" s="9"/>
      <c r="P668" s="33"/>
      <c r="Q668" s="4"/>
      <c r="R668" s="4"/>
      <c r="S668" s="4"/>
      <c r="T668" s="4"/>
      <c r="U668" s="4"/>
      <c r="V668" s="4"/>
      <c r="X668" s="4"/>
      <c r="Y668" s="4"/>
      <c r="AA668" s="4"/>
      <c r="AB668" s="4"/>
      <c r="AC668" s="4"/>
      <c r="AD668" s="20"/>
    </row>
    <row r="669" spans="14:30" x14ac:dyDescent="0.25">
      <c r="N669" s="9"/>
      <c r="P669" s="33"/>
      <c r="Q669" s="4"/>
      <c r="R669" s="4"/>
      <c r="S669" s="4"/>
      <c r="T669" s="4"/>
      <c r="U669" s="4"/>
      <c r="V669" s="4"/>
      <c r="X669" s="4"/>
      <c r="Y669" s="4"/>
      <c r="AA669" s="4"/>
      <c r="AB669" s="4"/>
      <c r="AC669" s="4"/>
      <c r="AD669" s="20"/>
    </row>
    <row r="670" spans="14:30" x14ac:dyDescent="0.25">
      <c r="N670" s="9"/>
      <c r="P670" s="33"/>
      <c r="Q670" s="4"/>
      <c r="R670" s="4"/>
      <c r="S670" s="4"/>
      <c r="T670" s="4"/>
      <c r="U670" s="4"/>
      <c r="V670" s="4"/>
      <c r="X670" s="4"/>
      <c r="Y670" s="4"/>
      <c r="AA670" s="4"/>
      <c r="AB670" s="4"/>
      <c r="AC670" s="4"/>
      <c r="AD670" s="20"/>
    </row>
    <row r="671" spans="14:30" x14ac:dyDescent="0.25">
      <c r="N671" s="9"/>
      <c r="P671" s="33"/>
      <c r="Q671" s="4"/>
      <c r="R671" s="4"/>
      <c r="S671" s="4"/>
      <c r="T671" s="4"/>
      <c r="U671" s="4"/>
      <c r="V671" s="4"/>
      <c r="X671" s="4"/>
      <c r="Y671" s="4"/>
      <c r="AA671" s="4"/>
      <c r="AB671" s="4"/>
      <c r="AC671" s="4"/>
      <c r="AD671" s="20"/>
    </row>
    <row r="672" spans="14:30" x14ac:dyDescent="0.25">
      <c r="N672" s="9"/>
      <c r="P672" s="33"/>
      <c r="Q672" s="4"/>
      <c r="R672" s="4"/>
      <c r="S672" s="4"/>
      <c r="T672" s="4"/>
      <c r="U672" s="4"/>
      <c r="V672" s="4"/>
      <c r="X672" s="4"/>
      <c r="Y672" s="4"/>
      <c r="AA672" s="4"/>
      <c r="AB672" s="4"/>
      <c r="AC672" s="4"/>
      <c r="AD672" s="20"/>
    </row>
    <row r="673" spans="14:30" x14ac:dyDescent="0.25">
      <c r="N673" s="9"/>
      <c r="P673" s="33"/>
      <c r="Q673" s="4"/>
      <c r="R673" s="4"/>
      <c r="S673" s="4"/>
      <c r="T673" s="4"/>
      <c r="U673" s="4"/>
      <c r="V673" s="4"/>
      <c r="X673" s="4"/>
      <c r="Y673" s="4"/>
      <c r="AA673" s="4"/>
      <c r="AB673" s="4"/>
      <c r="AC673" s="4"/>
      <c r="AD673" s="20"/>
    </row>
    <row r="674" spans="14:30" x14ac:dyDescent="0.25">
      <c r="N674" s="9"/>
      <c r="P674" s="33"/>
      <c r="Q674" s="4"/>
      <c r="R674" s="4"/>
      <c r="S674" s="4"/>
      <c r="T674" s="4"/>
      <c r="U674" s="4"/>
      <c r="V674" s="4"/>
      <c r="X674" s="4"/>
      <c r="Y674" s="4"/>
      <c r="AA674" s="4"/>
      <c r="AB674" s="4"/>
      <c r="AC674" s="4"/>
      <c r="AD674" s="20"/>
    </row>
    <row r="675" spans="14:30" x14ac:dyDescent="0.25">
      <c r="N675" s="9"/>
      <c r="P675" s="33"/>
      <c r="Q675" s="4"/>
      <c r="R675" s="4"/>
      <c r="S675" s="4"/>
      <c r="T675" s="4"/>
      <c r="U675" s="4"/>
      <c r="V675" s="4"/>
      <c r="X675" s="4"/>
      <c r="Y675" s="4"/>
      <c r="AA675" s="4"/>
      <c r="AB675" s="4"/>
      <c r="AC675" s="4"/>
      <c r="AD675" s="20"/>
    </row>
    <row r="676" spans="14:30" x14ac:dyDescent="0.25">
      <c r="N676" s="9"/>
      <c r="P676" s="33"/>
      <c r="Q676" s="4"/>
      <c r="R676" s="4"/>
      <c r="S676" s="4"/>
      <c r="T676" s="4"/>
      <c r="U676" s="4"/>
      <c r="V676" s="4"/>
      <c r="X676" s="4"/>
      <c r="Y676" s="4"/>
      <c r="AA676" s="4"/>
      <c r="AB676" s="4"/>
      <c r="AC676" s="4"/>
      <c r="AD676" s="20"/>
    </row>
    <row r="677" spans="14:30" x14ac:dyDescent="0.25">
      <c r="N677" s="9"/>
      <c r="P677" s="33"/>
      <c r="Q677" s="4"/>
      <c r="R677" s="4"/>
      <c r="S677" s="4"/>
      <c r="T677" s="4"/>
      <c r="U677" s="4"/>
      <c r="V677" s="4"/>
      <c r="X677" s="4"/>
      <c r="Y677" s="4"/>
      <c r="AA677" s="4"/>
      <c r="AB677" s="4"/>
      <c r="AC677" s="4"/>
      <c r="AD677" s="20"/>
    </row>
    <row r="678" spans="14:30" x14ac:dyDescent="0.25">
      <c r="N678" s="9"/>
      <c r="P678" s="33"/>
      <c r="Q678" s="4"/>
      <c r="R678" s="4"/>
      <c r="S678" s="4"/>
      <c r="T678" s="4"/>
      <c r="U678" s="4"/>
      <c r="V678" s="4"/>
      <c r="X678" s="4"/>
      <c r="Y678" s="4"/>
      <c r="AA678" s="4"/>
      <c r="AB678" s="4"/>
      <c r="AC678" s="4"/>
      <c r="AD678" s="20"/>
    </row>
    <row r="679" spans="14:30" x14ac:dyDescent="0.25">
      <c r="N679" s="9"/>
      <c r="P679" s="33"/>
      <c r="Q679" s="4"/>
      <c r="R679" s="4"/>
      <c r="S679" s="4"/>
      <c r="T679" s="4"/>
      <c r="U679" s="4"/>
      <c r="V679" s="4"/>
      <c r="X679" s="4"/>
      <c r="Y679" s="4"/>
      <c r="AA679" s="4"/>
      <c r="AB679" s="4"/>
      <c r="AC679" s="4"/>
      <c r="AD679" s="20"/>
    </row>
    <row r="680" spans="14:30" x14ac:dyDescent="0.25">
      <c r="N680" s="9"/>
      <c r="P680" s="33"/>
      <c r="Q680" s="4"/>
      <c r="R680" s="4"/>
      <c r="S680" s="4"/>
      <c r="T680" s="4"/>
      <c r="U680" s="4"/>
      <c r="V680" s="4"/>
      <c r="X680" s="4"/>
      <c r="Y680" s="4"/>
      <c r="AA680" s="4"/>
      <c r="AB680" s="4"/>
      <c r="AC680" s="4"/>
      <c r="AD680" s="20"/>
    </row>
    <row r="681" spans="14:30" x14ac:dyDescent="0.25">
      <c r="N681" s="9"/>
      <c r="P681" s="33"/>
      <c r="Q681" s="4"/>
      <c r="R681" s="4"/>
      <c r="S681" s="4"/>
      <c r="T681" s="4"/>
      <c r="U681" s="4"/>
      <c r="V681" s="4"/>
      <c r="X681" s="4"/>
      <c r="Y681" s="4"/>
      <c r="AA681" s="4"/>
      <c r="AB681" s="4"/>
      <c r="AC681" s="4"/>
      <c r="AD681" s="20"/>
    </row>
    <row r="682" spans="14:30" x14ac:dyDescent="0.25">
      <c r="N682" s="9"/>
      <c r="P682" s="33"/>
      <c r="Q682" s="4"/>
      <c r="R682" s="4"/>
      <c r="S682" s="4"/>
      <c r="T682" s="4"/>
      <c r="U682" s="4"/>
      <c r="V682" s="4"/>
      <c r="X682" s="4"/>
      <c r="Y682" s="4"/>
      <c r="AA682" s="4"/>
      <c r="AB682" s="4"/>
      <c r="AC682" s="4"/>
      <c r="AD682" s="20"/>
    </row>
    <row r="683" spans="14:30" x14ac:dyDescent="0.25">
      <c r="N683" s="9"/>
      <c r="P683" s="33"/>
      <c r="Q683" s="4"/>
      <c r="R683" s="4"/>
      <c r="S683" s="4"/>
      <c r="T683" s="4"/>
      <c r="U683" s="4"/>
      <c r="V683" s="4"/>
      <c r="X683" s="4"/>
      <c r="Y683" s="4"/>
      <c r="AA683" s="4"/>
      <c r="AB683" s="4"/>
      <c r="AC683" s="4"/>
      <c r="AD683" s="20"/>
    </row>
    <row r="684" spans="14:30" x14ac:dyDescent="0.25">
      <c r="N684" s="9"/>
      <c r="P684" s="33"/>
      <c r="Q684" s="4"/>
      <c r="R684" s="4"/>
      <c r="S684" s="4"/>
      <c r="T684" s="4"/>
      <c r="U684" s="4"/>
      <c r="V684" s="4"/>
      <c r="X684" s="4"/>
      <c r="Y684" s="4"/>
      <c r="AA684" s="4"/>
      <c r="AB684" s="4"/>
      <c r="AC684" s="4"/>
      <c r="AD684" s="20"/>
    </row>
    <row r="685" spans="14:30" x14ac:dyDescent="0.25">
      <c r="N685" s="9"/>
      <c r="P685" s="33"/>
      <c r="Q685" s="4"/>
      <c r="R685" s="4"/>
      <c r="S685" s="4"/>
      <c r="T685" s="4"/>
      <c r="U685" s="4"/>
      <c r="V685" s="4"/>
      <c r="X685" s="4"/>
      <c r="Y685" s="4"/>
      <c r="AA685" s="4"/>
      <c r="AB685" s="4"/>
      <c r="AC685" s="4"/>
      <c r="AD685" s="20"/>
    </row>
    <row r="686" spans="14:30" x14ac:dyDescent="0.25">
      <c r="N686" s="9"/>
      <c r="P686" s="33"/>
      <c r="Q686" s="4"/>
      <c r="R686" s="4"/>
      <c r="S686" s="4"/>
      <c r="T686" s="4"/>
      <c r="U686" s="4"/>
      <c r="V686" s="4"/>
      <c r="X686" s="4"/>
      <c r="Y686" s="4"/>
      <c r="AA686" s="4"/>
      <c r="AB686" s="4"/>
      <c r="AC686" s="4"/>
      <c r="AD686" s="20"/>
    </row>
    <row r="687" spans="14:30" x14ac:dyDescent="0.25">
      <c r="N687" s="9"/>
      <c r="P687" s="33"/>
      <c r="Q687" s="4"/>
      <c r="R687" s="4"/>
      <c r="S687" s="4"/>
      <c r="T687" s="4"/>
      <c r="U687" s="4"/>
      <c r="V687" s="4"/>
      <c r="X687" s="4"/>
      <c r="Y687" s="4"/>
      <c r="AA687" s="4"/>
      <c r="AB687" s="4"/>
      <c r="AC687" s="4"/>
      <c r="AD687" s="20"/>
    </row>
    <row r="688" spans="14:30" x14ac:dyDescent="0.25">
      <c r="N688" s="9"/>
      <c r="P688" s="33"/>
      <c r="Q688" s="4"/>
      <c r="R688" s="4"/>
      <c r="S688" s="4"/>
      <c r="T688" s="4"/>
      <c r="U688" s="4"/>
      <c r="V688" s="4"/>
      <c r="X688" s="4"/>
      <c r="Y688" s="4"/>
      <c r="AA688" s="4"/>
      <c r="AB688" s="4"/>
      <c r="AC688" s="4"/>
      <c r="AD688" s="20"/>
    </row>
    <row r="689" spans="14:30" x14ac:dyDescent="0.25">
      <c r="N689" s="9"/>
      <c r="P689" s="33"/>
      <c r="Q689" s="4"/>
      <c r="R689" s="4"/>
      <c r="S689" s="4"/>
      <c r="T689" s="4"/>
      <c r="U689" s="4"/>
      <c r="V689" s="4"/>
      <c r="X689" s="4"/>
      <c r="Y689" s="4"/>
      <c r="AA689" s="4"/>
      <c r="AB689" s="4"/>
      <c r="AC689" s="4"/>
      <c r="AD689" s="20"/>
    </row>
    <row r="690" spans="14:30" x14ac:dyDescent="0.25">
      <c r="N690" s="9"/>
      <c r="P690" s="33"/>
      <c r="Q690" s="4"/>
      <c r="R690" s="4"/>
      <c r="S690" s="4"/>
      <c r="T690" s="4"/>
      <c r="U690" s="4"/>
      <c r="V690" s="4"/>
      <c r="X690" s="4"/>
      <c r="Y690" s="4"/>
      <c r="AA690" s="4"/>
      <c r="AB690" s="4"/>
      <c r="AC690" s="4"/>
      <c r="AD690" s="20"/>
    </row>
    <row r="691" spans="14:30" x14ac:dyDescent="0.25">
      <c r="N691" s="9"/>
      <c r="P691" s="33"/>
      <c r="Q691" s="4"/>
      <c r="R691" s="4"/>
      <c r="S691" s="4"/>
      <c r="T691" s="4"/>
      <c r="U691" s="4"/>
      <c r="V691" s="4"/>
      <c r="X691" s="4"/>
      <c r="Y691" s="4"/>
      <c r="AA691" s="4"/>
      <c r="AB691" s="4"/>
      <c r="AC691" s="4"/>
      <c r="AD691" s="20"/>
    </row>
    <row r="692" spans="14:30" x14ac:dyDescent="0.25">
      <c r="N692" s="9"/>
      <c r="P692" s="33"/>
      <c r="Q692" s="4"/>
      <c r="R692" s="4"/>
      <c r="S692" s="4"/>
      <c r="T692" s="4"/>
      <c r="U692" s="4"/>
      <c r="V692" s="4"/>
      <c r="X692" s="4"/>
      <c r="Y692" s="4"/>
      <c r="AA692" s="4"/>
      <c r="AB692" s="4"/>
      <c r="AC692" s="4"/>
      <c r="AD692" s="20"/>
    </row>
    <row r="693" spans="14:30" x14ac:dyDescent="0.25">
      <c r="N693" s="9"/>
      <c r="P693" s="33"/>
      <c r="Q693" s="4"/>
      <c r="R693" s="4"/>
      <c r="S693" s="4"/>
      <c r="T693" s="4"/>
      <c r="U693" s="4"/>
      <c r="V693" s="4"/>
      <c r="X693" s="4"/>
      <c r="Y693" s="4"/>
      <c r="AA693" s="4"/>
      <c r="AB693" s="4"/>
      <c r="AC693" s="4"/>
      <c r="AD693" s="20"/>
    </row>
    <row r="694" spans="14:30" x14ac:dyDescent="0.25">
      <c r="N694" s="9"/>
      <c r="P694" s="33"/>
      <c r="Q694" s="4"/>
      <c r="R694" s="4"/>
      <c r="S694" s="4"/>
      <c r="T694" s="4"/>
      <c r="U694" s="4"/>
      <c r="V694" s="4"/>
      <c r="X694" s="4"/>
      <c r="Y694" s="4"/>
      <c r="AA694" s="4"/>
      <c r="AB694" s="4"/>
      <c r="AC694" s="4"/>
      <c r="AD694" s="20"/>
    </row>
    <row r="695" spans="14:30" x14ac:dyDescent="0.25">
      <c r="N695" s="9"/>
      <c r="P695" s="33"/>
      <c r="Q695" s="4"/>
      <c r="R695" s="4"/>
      <c r="S695" s="4"/>
      <c r="T695" s="4"/>
      <c r="U695" s="4"/>
      <c r="V695" s="4"/>
      <c r="X695" s="4"/>
      <c r="Y695" s="4"/>
      <c r="AA695" s="4"/>
      <c r="AB695" s="4"/>
      <c r="AC695" s="4"/>
      <c r="AD695" s="20"/>
    </row>
    <row r="696" spans="14:30" x14ac:dyDescent="0.25">
      <c r="N696" s="9"/>
      <c r="P696" s="33"/>
      <c r="Q696" s="4"/>
      <c r="R696" s="4"/>
      <c r="S696" s="4"/>
      <c r="T696" s="4"/>
      <c r="U696" s="4"/>
      <c r="V696" s="4"/>
      <c r="X696" s="4"/>
      <c r="Y696" s="4"/>
      <c r="AA696" s="4"/>
      <c r="AB696" s="4"/>
      <c r="AC696" s="4"/>
      <c r="AD696" s="20"/>
    </row>
    <row r="697" spans="14:30" x14ac:dyDescent="0.25">
      <c r="N697" s="9"/>
      <c r="P697" s="33"/>
      <c r="Q697" s="4"/>
      <c r="R697" s="4"/>
      <c r="S697" s="4"/>
      <c r="T697" s="4"/>
      <c r="U697" s="4"/>
      <c r="V697" s="4"/>
      <c r="X697" s="4"/>
      <c r="Y697" s="4"/>
      <c r="AA697" s="4"/>
      <c r="AB697" s="4"/>
      <c r="AC697" s="4"/>
      <c r="AD697" s="20"/>
    </row>
    <row r="698" spans="14:30" x14ac:dyDescent="0.25">
      <c r="N698" s="9"/>
      <c r="P698" s="33"/>
      <c r="Q698" s="4"/>
      <c r="R698" s="4"/>
      <c r="S698" s="4"/>
      <c r="T698" s="4"/>
      <c r="U698" s="4"/>
      <c r="V698" s="4"/>
      <c r="X698" s="4"/>
      <c r="Y698" s="4"/>
      <c r="AA698" s="4"/>
      <c r="AB698" s="4"/>
      <c r="AC698" s="4"/>
      <c r="AD698" s="20"/>
    </row>
    <row r="699" spans="14:30" x14ac:dyDescent="0.25">
      <c r="N699" s="9"/>
      <c r="P699" s="33"/>
      <c r="Q699" s="4"/>
      <c r="R699" s="4"/>
      <c r="S699" s="4"/>
      <c r="T699" s="4"/>
      <c r="U699" s="4"/>
      <c r="V699" s="4"/>
      <c r="X699" s="4"/>
      <c r="Y699" s="4"/>
      <c r="AA699" s="4"/>
      <c r="AB699" s="4"/>
      <c r="AC699" s="4"/>
      <c r="AD699" s="20"/>
    </row>
    <row r="700" spans="14:30" x14ac:dyDescent="0.25">
      <c r="N700" s="9"/>
      <c r="P700" s="33"/>
      <c r="Q700" s="4"/>
      <c r="R700" s="4"/>
      <c r="S700" s="4"/>
      <c r="T700" s="4"/>
      <c r="U700" s="4"/>
      <c r="V700" s="4"/>
      <c r="X700" s="4"/>
      <c r="Y700" s="4"/>
      <c r="AA700" s="4"/>
      <c r="AB700" s="4"/>
      <c r="AC700" s="4"/>
      <c r="AD700" s="20"/>
    </row>
    <row r="701" spans="14:30" x14ac:dyDescent="0.25">
      <c r="N701" s="9"/>
      <c r="P701" s="33"/>
      <c r="Q701" s="4"/>
      <c r="R701" s="4"/>
      <c r="S701" s="4"/>
      <c r="T701" s="4"/>
      <c r="U701" s="4"/>
      <c r="V701" s="4"/>
      <c r="X701" s="4"/>
      <c r="Y701" s="4"/>
      <c r="AA701" s="4"/>
      <c r="AB701" s="4"/>
      <c r="AC701" s="4"/>
      <c r="AD701" s="20"/>
    </row>
    <row r="702" spans="14:30" x14ac:dyDescent="0.25">
      <c r="N702" s="9"/>
      <c r="P702" s="33"/>
      <c r="Q702" s="4"/>
      <c r="R702" s="4"/>
      <c r="S702" s="4"/>
      <c r="T702" s="4"/>
      <c r="U702" s="4"/>
      <c r="V702" s="4"/>
      <c r="X702" s="4"/>
      <c r="Y702" s="4"/>
      <c r="AA702" s="4"/>
      <c r="AB702" s="4"/>
      <c r="AC702" s="4"/>
      <c r="AD702" s="20"/>
    </row>
    <row r="703" spans="14:30" x14ac:dyDescent="0.25">
      <c r="N703" s="9"/>
      <c r="P703" s="33"/>
      <c r="Q703" s="4"/>
      <c r="R703" s="4"/>
      <c r="S703" s="4"/>
      <c r="T703" s="4"/>
      <c r="U703" s="4"/>
      <c r="V703" s="4"/>
      <c r="X703" s="4"/>
      <c r="Y703" s="4"/>
      <c r="AA703" s="4"/>
      <c r="AB703" s="4"/>
      <c r="AC703" s="4"/>
      <c r="AD703" s="20"/>
    </row>
    <row r="704" spans="14:30" x14ac:dyDescent="0.25">
      <c r="N704" s="9"/>
      <c r="P704" s="33"/>
      <c r="Q704" s="4"/>
      <c r="R704" s="4"/>
      <c r="S704" s="4"/>
      <c r="T704" s="4"/>
      <c r="U704" s="4"/>
      <c r="V704" s="4"/>
      <c r="X704" s="4"/>
      <c r="Y704" s="4"/>
      <c r="AA704" s="4"/>
      <c r="AB704" s="4"/>
      <c r="AC704" s="4"/>
      <c r="AD704" s="20"/>
    </row>
    <row r="705" spans="14:30" x14ac:dyDescent="0.25">
      <c r="N705" s="9"/>
      <c r="P705" s="33"/>
      <c r="Q705" s="4"/>
      <c r="R705" s="4"/>
      <c r="S705" s="4"/>
      <c r="T705" s="4"/>
      <c r="U705" s="4"/>
      <c r="V705" s="4"/>
      <c r="X705" s="4"/>
      <c r="Y705" s="4"/>
      <c r="AA705" s="4"/>
      <c r="AB705" s="4"/>
      <c r="AC705" s="4"/>
      <c r="AD705" s="20"/>
    </row>
    <row r="706" spans="14:30" x14ac:dyDescent="0.25">
      <c r="N706" s="9"/>
      <c r="P706" s="33"/>
      <c r="Q706" s="4"/>
      <c r="R706" s="4"/>
      <c r="S706" s="4"/>
      <c r="T706" s="4"/>
      <c r="U706" s="4"/>
      <c r="V706" s="4"/>
      <c r="X706" s="4"/>
      <c r="Y706" s="4"/>
      <c r="AA706" s="4"/>
      <c r="AB706" s="4"/>
      <c r="AC706" s="4"/>
      <c r="AD706" s="20"/>
    </row>
    <row r="707" spans="14:30" x14ac:dyDescent="0.25">
      <c r="N707" s="9"/>
      <c r="P707" s="33"/>
      <c r="Q707" s="4"/>
      <c r="R707" s="4"/>
      <c r="S707" s="4"/>
      <c r="T707" s="4"/>
      <c r="U707" s="4"/>
      <c r="V707" s="4"/>
      <c r="X707" s="4"/>
      <c r="Y707" s="4"/>
      <c r="AA707" s="4"/>
      <c r="AB707" s="4"/>
      <c r="AC707" s="4"/>
      <c r="AD707" s="20"/>
    </row>
    <row r="708" spans="14:30" x14ac:dyDescent="0.25">
      <c r="N708" s="9"/>
      <c r="P708" s="33"/>
      <c r="Q708" s="4"/>
      <c r="R708" s="4"/>
      <c r="S708" s="4"/>
      <c r="T708" s="4"/>
      <c r="U708" s="4"/>
      <c r="V708" s="4"/>
      <c r="X708" s="4"/>
      <c r="Y708" s="4"/>
      <c r="AA708" s="4"/>
      <c r="AB708" s="4"/>
      <c r="AC708" s="4"/>
      <c r="AD708" s="20"/>
    </row>
  </sheetData>
  <mergeCells count="46">
    <mergeCell ref="AF4:AR4"/>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E6:K6"/>
    <mergeCell ref="Q17:S17"/>
    <mergeCell ref="T17:V17"/>
    <mergeCell ref="W17:Y17"/>
    <mergeCell ref="P16:AE16"/>
    <mergeCell ref="Z17:AB17"/>
    <mergeCell ref="AC17:AE17"/>
    <mergeCell ref="AZ17:BB17"/>
    <mergeCell ref="AS16:BE16"/>
    <mergeCell ref="AF16:AR16"/>
    <mergeCell ref="AG17:AI17"/>
    <mergeCell ref="AJ17:AL17"/>
    <mergeCell ref="AM17:AO17"/>
    <mergeCell ref="AP17:AR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62"/>
  <sheetViews>
    <sheetView zoomScale="85" zoomScaleNormal="85" workbookViewId="0">
      <selection activeCell="H24" sqref="H24"/>
    </sheetView>
  </sheetViews>
  <sheetFormatPr baseColWidth="10" defaultColWidth="9.140625" defaultRowHeight="15" x14ac:dyDescent="0.25"/>
  <cols>
    <col min="1" max="1" width="26.85546875" customWidth="1"/>
    <col min="2" max="2" width="25.5703125" customWidth="1"/>
    <col min="3" max="3" width="10.140625" customWidth="1"/>
  </cols>
  <sheetData>
    <row r="1" spans="1:9" ht="27.75" x14ac:dyDescent="0.4">
      <c r="A1" s="213" t="s">
        <v>75</v>
      </c>
      <c r="B1" s="213"/>
      <c r="C1" s="213"/>
      <c r="D1" s="213"/>
      <c r="E1" s="213"/>
      <c r="F1" s="213"/>
      <c r="G1" s="213"/>
      <c r="H1" s="213"/>
      <c r="I1" s="213"/>
    </row>
    <row r="2" spans="1:9" x14ac:dyDescent="0.25">
      <c r="A2" s="5"/>
      <c r="B2" s="5" t="s">
        <v>16</v>
      </c>
      <c r="C2" s="6"/>
      <c r="D2" s="4"/>
      <c r="E2" s="5"/>
      <c r="F2" s="5"/>
      <c r="G2" s="5"/>
      <c r="H2" s="5"/>
      <c r="I2" s="5"/>
    </row>
    <row r="3" spans="1:9" x14ac:dyDescent="0.25">
      <c r="A3" s="5"/>
      <c r="B3" s="5" t="s">
        <v>17</v>
      </c>
      <c r="C3" s="7"/>
      <c r="D3" s="4"/>
      <c r="E3" s="5"/>
      <c r="F3" s="5"/>
      <c r="G3" s="5"/>
      <c r="H3" s="5"/>
      <c r="I3" s="5"/>
    </row>
    <row r="4" spans="1:9" x14ac:dyDescent="0.25">
      <c r="A4" s="5"/>
      <c r="B4" s="5" t="s">
        <v>18</v>
      </c>
      <c r="C4" s="8"/>
      <c r="D4" s="4"/>
      <c r="E4" s="5"/>
      <c r="F4" s="5"/>
      <c r="G4" s="5"/>
      <c r="H4" s="5"/>
      <c r="I4" s="5"/>
    </row>
    <row r="5" spans="1:9" x14ac:dyDescent="0.25">
      <c r="A5" s="9" t="s">
        <v>19</v>
      </c>
      <c r="B5" s="9" t="s">
        <v>20</v>
      </c>
      <c r="C5" s="9" t="s">
        <v>21</v>
      </c>
      <c r="D5" s="4"/>
      <c r="E5" s="214" t="s">
        <v>22</v>
      </c>
      <c r="F5" s="214"/>
      <c r="G5" s="214"/>
      <c r="H5" s="214"/>
      <c r="I5" s="9"/>
    </row>
    <row r="6" spans="1:9" x14ac:dyDescent="0.25">
      <c r="A6" s="9"/>
      <c r="B6" s="9"/>
      <c r="C6" s="9"/>
      <c r="D6" s="4"/>
      <c r="E6" s="5"/>
      <c r="F6" s="5"/>
      <c r="G6" s="5"/>
      <c r="H6" s="5"/>
      <c r="I6" s="9"/>
    </row>
    <row r="7" spans="1:9" x14ac:dyDescent="0.25">
      <c r="A7" s="9" t="s">
        <v>55</v>
      </c>
      <c r="B7" s="9"/>
      <c r="C7" s="9"/>
      <c r="D7" s="4"/>
      <c r="E7" s="5"/>
      <c r="F7" s="5"/>
      <c r="G7" s="5"/>
      <c r="H7" s="5"/>
      <c r="I7" s="9"/>
    </row>
    <row r="8" spans="1:9" x14ac:dyDescent="0.25">
      <c r="A8" s="9"/>
      <c r="B8" s="9"/>
      <c r="C8" s="9"/>
      <c r="D8" s="4"/>
      <c r="E8" s="5"/>
      <c r="F8" s="5"/>
      <c r="G8" s="5"/>
      <c r="H8" s="5"/>
      <c r="I8" s="9"/>
    </row>
    <row r="9" spans="1:9" x14ac:dyDescent="0.25">
      <c r="A9" t="s">
        <v>44</v>
      </c>
      <c r="B9" s="12">
        <v>0.8</v>
      </c>
      <c r="D9" t="s">
        <v>47</v>
      </c>
    </row>
    <row r="10" spans="1:9" x14ac:dyDescent="0.25">
      <c r="A10" t="s">
        <v>48</v>
      </c>
      <c r="B10" s="13">
        <f>(1-B9)/(2.2*10^6)</f>
        <v>9.0909090909090888E-8</v>
      </c>
      <c r="C10" t="s">
        <v>51</v>
      </c>
      <c r="D10" t="s">
        <v>54</v>
      </c>
    </row>
    <row r="11" spans="1:9" x14ac:dyDescent="0.25">
      <c r="A11" t="s">
        <v>45</v>
      </c>
      <c r="B11" s="12">
        <v>0.85</v>
      </c>
      <c r="D11" t="s">
        <v>47</v>
      </c>
    </row>
    <row r="12" spans="1:9" x14ac:dyDescent="0.25">
      <c r="A12" t="s">
        <v>49</v>
      </c>
      <c r="B12" s="13">
        <f>(1-B11)/(2.2*10^6)</f>
        <v>6.8181818181818186E-8</v>
      </c>
      <c r="C12" t="s">
        <v>51</v>
      </c>
      <c r="D12" t="s">
        <v>53</v>
      </c>
    </row>
    <row r="13" spans="1:9" x14ac:dyDescent="0.25">
      <c r="A13" t="s">
        <v>46</v>
      </c>
      <c r="B13" s="12">
        <v>0.9</v>
      </c>
      <c r="D13" t="s">
        <v>47</v>
      </c>
    </row>
    <row r="14" spans="1:9" x14ac:dyDescent="0.25">
      <c r="A14" t="s">
        <v>50</v>
      </c>
      <c r="B14" s="13">
        <f>(1-B13)/(2.2*10^6)</f>
        <v>4.5454545454545444E-8</v>
      </c>
      <c r="C14" t="s">
        <v>51</v>
      </c>
      <c r="D14" t="s">
        <v>52</v>
      </c>
    </row>
    <row r="16" spans="1:9" x14ac:dyDescent="0.25">
      <c r="A16" t="s">
        <v>56</v>
      </c>
      <c r="B16" s="12">
        <v>0.9</v>
      </c>
      <c r="D16" t="s">
        <v>62</v>
      </c>
    </row>
    <row r="17" spans="1:8" x14ac:dyDescent="0.25">
      <c r="A17" t="s">
        <v>57</v>
      </c>
      <c r="B17" s="12">
        <v>0.93</v>
      </c>
      <c r="D17" t="s">
        <v>59</v>
      </c>
    </row>
    <row r="18" spans="1:8" x14ac:dyDescent="0.25">
      <c r="A18" t="s">
        <v>58</v>
      </c>
      <c r="B18" s="12">
        <v>0.96</v>
      </c>
      <c r="D18" t="s">
        <v>63</v>
      </c>
    </row>
    <row r="19" spans="1:8" x14ac:dyDescent="0.25">
      <c r="B19">
        <f>IF(((1-D_limit_min)/Constants!B12)&lt;Fsw,2,1)</f>
        <v>1</v>
      </c>
      <c r="D19" t="s">
        <v>438</v>
      </c>
    </row>
    <row r="20" spans="1:8" x14ac:dyDescent="0.25">
      <c r="A20" t="s">
        <v>73</v>
      </c>
      <c r="B20" s="1">
        <f>CHOOSE(B19,D_limit_min,(1-Constants!B10*Fsw))</f>
        <v>0.9</v>
      </c>
      <c r="D20" t="s">
        <v>74</v>
      </c>
    </row>
    <row r="22" spans="1:8" x14ac:dyDescent="0.25">
      <c r="A22" t="s">
        <v>80</v>
      </c>
      <c r="B22" s="12">
        <f>50*10^-9</f>
        <v>5.0000000000000004E-8</v>
      </c>
      <c r="C22" t="s">
        <v>51</v>
      </c>
      <c r="D22" t="s">
        <v>81</v>
      </c>
    </row>
    <row r="24" spans="1:8" x14ac:dyDescent="0.25">
      <c r="A24" t="s">
        <v>590</v>
      </c>
      <c r="B24" s="12">
        <f>20*10^-9</f>
        <v>2E-8</v>
      </c>
      <c r="C24" t="s">
        <v>51</v>
      </c>
      <c r="D24" t="s">
        <v>589</v>
      </c>
    </row>
    <row r="25" spans="1:8" ht="15.75" x14ac:dyDescent="0.25">
      <c r="A25" s="27" t="s">
        <v>141</v>
      </c>
    </row>
    <row r="26" spans="1:8" x14ac:dyDescent="0.25">
      <c r="A26" t="s">
        <v>127</v>
      </c>
      <c r="B26" s="12">
        <f>30*10^-6</f>
        <v>2.9999999999999997E-5</v>
      </c>
      <c r="C26" t="s">
        <v>11</v>
      </c>
      <c r="D26" t="s">
        <v>128</v>
      </c>
    </row>
    <row r="27" spans="1:8" x14ac:dyDescent="0.25">
      <c r="A27" t="s">
        <v>129</v>
      </c>
      <c r="B27" s="12">
        <v>3000</v>
      </c>
      <c r="C27" s="2" t="s">
        <v>36</v>
      </c>
      <c r="D27" t="s">
        <v>130</v>
      </c>
      <c r="H27" s="31"/>
    </row>
    <row r="28" spans="1:8" x14ac:dyDescent="0.25">
      <c r="A28" t="s">
        <v>491</v>
      </c>
      <c r="B28" s="12">
        <v>4.4999999999999998E-2</v>
      </c>
      <c r="C28" s="2"/>
    </row>
    <row r="29" spans="1:8" x14ac:dyDescent="0.25">
      <c r="C29" s="2"/>
    </row>
    <row r="30" spans="1:8" x14ac:dyDescent="0.25">
      <c r="A30" t="s">
        <v>132</v>
      </c>
      <c r="B30" s="12">
        <v>0.06</v>
      </c>
      <c r="C30" s="2" t="s">
        <v>10</v>
      </c>
      <c r="D30" t="s">
        <v>133</v>
      </c>
    </row>
    <row r="32" spans="1:8" x14ac:dyDescent="0.25">
      <c r="A32" t="s">
        <v>201</v>
      </c>
      <c r="B32" s="12">
        <v>1</v>
      </c>
      <c r="C32" t="s">
        <v>150</v>
      </c>
      <c r="D32" t="s">
        <v>203</v>
      </c>
    </row>
    <row r="33" spans="1:4" x14ac:dyDescent="0.25">
      <c r="A33" t="s">
        <v>205</v>
      </c>
      <c r="B33" s="12">
        <v>10</v>
      </c>
      <c r="C33" t="s">
        <v>150</v>
      </c>
      <c r="D33" t="s">
        <v>206</v>
      </c>
    </row>
    <row r="35" spans="1:4" x14ac:dyDescent="0.25">
      <c r="A35" s="31" t="s">
        <v>225</v>
      </c>
    </row>
    <row r="36" spans="1:4" x14ac:dyDescent="0.25">
      <c r="A36" t="s">
        <v>244</v>
      </c>
      <c r="B36">
        <v>1</v>
      </c>
      <c r="C36" t="s">
        <v>10</v>
      </c>
      <c r="D36" t="s">
        <v>245</v>
      </c>
    </row>
    <row r="37" spans="1:4" x14ac:dyDescent="0.25">
      <c r="A37" t="s">
        <v>228</v>
      </c>
      <c r="B37">
        <f>(1*10^-3)/1</f>
        <v>1E-3</v>
      </c>
      <c r="C37" t="s">
        <v>230</v>
      </c>
      <c r="D37" t="s">
        <v>229</v>
      </c>
    </row>
    <row r="38" spans="1:4" x14ac:dyDescent="0.25">
      <c r="A38" t="s">
        <v>552</v>
      </c>
      <c r="B38">
        <v>20</v>
      </c>
      <c r="C38" t="s">
        <v>150</v>
      </c>
    </row>
    <row r="39" spans="1:4" x14ac:dyDescent="0.25">
      <c r="A39" t="s">
        <v>553</v>
      </c>
      <c r="B39">
        <v>60</v>
      </c>
      <c r="C39" t="s">
        <v>150</v>
      </c>
    </row>
    <row r="40" spans="1:4" x14ac:dyDescent="0.25">
      <c r="A40" t="s">
        <v>554</v>
      </c>
      <c r="B40">
        <v>100000</v>
      </c>
      <c r="C40" t="s">
        <v>469</v>
      </c>
    </row>
    <row r="41" spans="1:4" x14ac:dyDescent="0.25">
      <c r="A41" t="s">
        <v>555</v>
      </c>
      <c r="B41">
        <v>35000</v>
      </c>
      <c r="C41" t="s">
        <v>469</v>
      </c>
    </row>
    <row r="42" spans="1:4" x14ac:dyDescent="0.25">
      <c r="A42" t="s">
        <v>556</v>
      </c>
      <c r="B42">
        <v>75000</v>
      </c>
      <c r="C42" t="s">
        <v>469</v>
      </c>
    </row>
    <row r="43" spans="1:4" x14ac:dyDescent="0.25">
      <c r="A43" t="s">
        <v>557</v>
      </c>
      <c r="B43">
        <v>20000</v>
      </c>
      <c r="C43" t="s">
        <v>469</v>
      </c>
    </row>
    <row r="46" spans="1:4" x14ac:dyDescent="0.25">
      <c r="A46" s="31" t="s">
        <v>277</v>
      </c>
    </row>
    <row r="47" spans="1:4" x14ac:dyDescent="0.25">
      <c r="A47" t="s">
        <v>278</v>
      </c>
      <c r="B47">
        <f>20*10^-6</f>
        <v>1.9999999999999998E-5</v>
      </c>
      <c r="C47" t="s">
        <v>11</v>
      </c>
      <c r="D47" t="s">
        <v>279</v>
      </c>
    </row>
    <row r="49" spans="1:10" x14ac:dyDescent="0.25">
      <c r="A49" s="31" t="s">
        <v>297</v>
      </c>
    </row>
    <row r="50" spans="1:10" x14ac:dyDescent="0.25">
      <c r="A50" t="s">
        <v>298</v>
      </c>
      <c r="B50">
        <v>1.1000000000000001</v>
      </c>
      <c r="C50" t="s">
        <v>10</v>
      </c>
      <c r="D50" t="s">
        <v>301</v>
      </c>
      <c r="J50" s="31"/>
    </row>
    <row r="51" spans="1:10" x14ac:dyDescent="0.25">
      <c r="A51" t="s">
        <v>299</v>
      </c>
      <c r="B51">
        <v>1.075</v>
      </c>
      <c r="C51" t="s">
        <v>10</v>
      </c>
      <c r="D51" t="s">
        <v>300</v>
      </c>
      <c r="J51" s="31"/>
    </row>
    <row r="52" spans="1:10" x14ac:dyDescent="0.25">
      <c r="A52" t="s">
        <v>304</v>
      </c>
      <c r="B52">
        <f>10*10^-6</f>
        <v>9.9999999999999991E-6</v>
      </c>
      <c r="C52" t="s">
        <v>11</v>
      </c>
      <c r="D52" t="s">
        <v>305</v>
      </c>
      <c r="J52" s="31"/>
    </row>
    <row r="54" spans="1:10" x14ac:dyDescent="0.25">
      <c r="A54" s="31" t="s">
        <v>355</v>
      </c>
    </row>
    <row r="55" spans="1:10" x14ac:dyDescent="0.25">
      <c r="A55" t="s">
        <v>356</v>
      </c>
      <c r="B55">
        <v>5</v>
      </c>
      <c r="C55" t="s">
        <v>10</v>
      </c>
      <c r="D55" t="s">
        <v>357</v>
      </c>
    </row>
    <row r="57" spans="1:10" x14ac:dyDescent="0.25">
      <c r="A57" s="31" t="s">
        <v>373</v>
      </c>
    </row>
    <row r="58" spans="1:10" x14ac:dyDescent="0.25">
      <c r="A58" t="s">
        <v>374</v>
      </c>
      <c r="B58">
        <f>3.3*(10^-6)</f>
        <v>3.2999999999999997E-6</v>
      </c>
      <c r="C58" t="s">
        <v>11</v>
      </c>
      <c r="D58" t="s">
        <v>375</v>
      </c>
    </row>
    <row r="60" spans="1:10" x14ac:dyDescent="0.25">
      <c r="A60" t="s">
        <v>409</v>
      </c>
    </row>
    <row r="61" spans="1:10" x14ac:dyDescent="0.25">
      <c r="A61" t="s">
        <v>410</v>
      </c>
      <c r="B61">
        <v>1.5</v>
      </c>
      <c r="C61" t="s">
        <v>10</v>
      </c>
      <c r="D61" t="s">
        <v>411</v>
      </c>
    </row>
    <row r="62" spans="1:10" x14ac:dyDescent="0.25">
      <c r="A62" t="s">
        <v>413</v>
      </c>
      <c r="B62">
        <v>45</v>
      </c>
      <c r="D62" t="s">
        <v>412</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P22" sqref="P22"/>
    </sheetView>
  </sheetViews>
  <sheetFormatPr baseColWidth="10" defaultColWidth="9.140625"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
  <sheetViews>
    <sheetView topLeftCell="A4" workbookViewId="0">
      <selection activeCell="B7" sqref="B7"/>
    </sheetView>
  </sheetViews>
  <sheetFormatPr baseColWidth="10" defaultColWidth="9.140625" defaultRowHeight="15" x14ac:dyDescent="0.25"/>
  <cols>
    <col min="1" max="1" width="27.28515625" customWidth="1"/>
    <col min="2" max="2" width="77.140625" customWidth="1"/>
  </cols>
  <sheetData>
    <row r="1" spans="1:8" x14ac:dyDescent="0.25">
      <c r="A1" s="111" t="str">
        <f>IF('Design Converter'!H12= "SKIP", "SCH_1", IF('Design Converter'!H12 = "DEM", "SCH_2", IF('Design Converter'!H12 = "FPWM","SCH_3", "")))</f>
        <v>SCH_3</v>
      </c>
      <c r="F1" t="s">
        <v>604</v>
      </c>
      <c r="G1" t="s">
        <v>605</v>
      </c>
      <c r="H1" t="s">
        <v>606</v>
      </c>
    </row>
    <row r="2" spans="1:8" ht="214.9" customHeight="1" x14ac:dyDescent="0.25">
      <c r="B2" t="s">
        <v>603</v>
      </c>
    </row>
    <row r="5" spans="1:8" ht="214.15" customHeight="1" x14ac:dyDescent="0.25"/>
    <row r="6" spans="1:8" ht="15" customHeight="1" x14ac:dyDescent="0.25"/>
    <row r="7" spans="1:8" ht="213.6" customHeight="1"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42" r:id="rId4">
          <objectPr defaultSize="0" r:id="rId5">
            <anchor moveWithCells="1">
              <from>
                <xdr:col>1</xdr:col>
                <xdr:colOff>0</xdr:colOff>
                <xdr:row>1</xdr:row>
                <xdr:rowOff>0</xdr:rowOff>
              </from>
              <to>
                <xdr:col>2</xdr:col>
                <xdr:colOff>28575</xdr:colOff>
                <xdr:row>2</xdr:row>
                <xdr:rowOff>0</xdr:rowOff>
              </to>
            </anchor>
          </objectPr>
        </oleObject>
      </mc:Choice>
      <mc:Fallback>
        <oleObject progId="Visio.Drawing.15" shapeId="10242" r:id="rId4"/>
      </mc:Fallback>
    </mc:AlternateContent>
    <mc:AlternateContent xmlns:mc="http://schemas.openxmlformats.org/markup-compatibility/2006">
      <mc:Choice Requires="x14">
        <oleObject progId="Visio.Drawing.15" shapeId="10243" r:id="rId6">
          <objectPr defaultSize="0" r:id="rId7">
            <anchor moveWithCells="1">
              <from>
                <xdr:col>1</xdr:col>
                <xdr:colOff>0</xdr:colOff>
                <xdr:row>4</xdr:row>
                <xdr:rowOff>0</xdr:rowOff>
              </from>
              <to>
                <xdr:col>2</xdr:col>
                <xdr:colOff>28575</xdr:colOff>
                <xdr:row>5</xdr:row>
                <xdr:rowOff>9525</xdr:rowOff>
              </to>
            </anchor>
          </objectPr>
        </oleObject>
      </mc:Choice>
      <mc:Fallback>
        <oleObject progId="Visio.Drawing.15" shapeId="10243" r:id="rId6"/>
      </mc:Fallback>
    </mc:AlternateContent>
    <mc:AlternateContent xmlns:mc="http://schemas.openxmlformats.org/markup-compatibility/2006">
      <mc:Choice Requires="x14">
        <oleObject progId="Visio.Drawing.15" shapeId="10246" r:id="rId8">
          <objectPr defaultSize="0" r:id="rId9">
            <anchor moveWithCells="1">
              <from>
                <xdr:col>1</xdr:col>
                <xdr:colOff>0</xdr:colOff>
                <xdr:row>6</xdr:row>
                <xdr:rowOff>0</xdr:rowOff>
              </from>
              <to>
                <xdr:col>2</xdr:col>
                <xdr:colOff>28575</xdr:colOff>
                <xdr:row>7</xdr:row>
                <xdr:rowOff>9525</xdr:rowOff>
              </to>
            </anchor>
          </objectPr>
        </oleObject>
      </mc:Choice>
      <mc:Fallback>
        <oleObject progId="Visio.Drawing.15" shapeId="10246"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F5"/>
  <sheetViews>
    <sheetView workbookViewId="0">
      <selection activeCell="F3" sqref="F3"/>
    </sheetView>
  </sheetViews>
  <sheetFormatPr baseColWidth="10" defaultColWidth="9.140625" defaultRowHeight="15" x14ac:dyDescent="0.25"/>
  <sheetData>
    <row r="2" spans="1:6" x14ac:dyDescent="0.25">
      <c r="A2" t="s">
        <v>389</v>
      </c>
    </row>
    <row r="3" spans="1:6" x14ac:dyDescent="0.25">
      <c r="B3">
        <f>VIN_min</f>
        <v>11</v>
      </c>
      <c r="F3" t="str">
        <f>"SKIP"</f>
        <v>SKIP</v>
      </c>
    </row>
    <row r="4" spans="1:6" x14ac:dyDescent="0.25">
      <c r="B4">
        <f>VIN_nom</f>
        <v>11</v>
      </c>
      <c r="D4">
        <v>2.5</v>
      </c>
      <c r="F4" t="str">
        <f>"DEM"</f>
        <v>DEM</v>
      </c>
    </row>
    <row r="5" spans="1:6" x14ac:dyDescent="0.25">
      <c r="B5">
        <f>VIN_max</f>
        <v>22</v>
      </c>
      <c r="F5" t="str">
        <f>"FPWM"</f>
        <v>FPWM</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155</vt:i4>
      </vt:variant>
    </vt:vector>
  </HeadingPairs>
  <TitlesOfParts>
    <vt:vector size="164"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DC_rip</vt:lpstr>
      <vt:lpstr>Dc_rip_max</vt:lpstr>
      <vt:lpstr>Dc_VIN_max</vt:lpstr>
      <vt:lpstr>Dc_VIN_min</vt:lpstr>
      <vt:lpstr>Dc_VIN_nom</vt:lpstr>
      <vt:lpstr>DC_VIN_var_DCM</vt:lpstr>
      <vt:lpstr>'Design Converter'!Druckbereich</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IOUT_VAR</vt:lpstr>
      <vt:lpstr>Ipk_margin</vt:lpstr>
      <vt:lpstr>Ipk_selected</vt:lpstr>
      <vt:lpstr>IQ</vt:lpstr>
      <vt:lpstr>IRMS_COUT</vt:lpstr>
      <vt:lpstr>Isl</vt:lpstr>
      <vt:lpstr>Iss</vt:lpstr>
      <vt:lpstr>Kd</vt:lpstr>
      <vt:lpstr>Kd_VINmin</vt:lpstr>
      <vt:lpstr>Kex</vt:lpstr>
      <vt:lpstr>Kex_VINmin</vt:lpstr>
      <vt:lpstr>Kfb</vt:lpstr>
      <vt:lpstr>Kfb_high</vt:lpstr>
      <vt:lpstr>Kfb_low</vt:lpstr>
      <vt:lpstr>Km</vt:lpstr>
      <vt:lpstr>Km_VINmin</vt:lpstr>
      <vt:lpstr>Lm</vt:lpstr>
      <vt:lpstr>Lopt_2</vt:lpstr>
      <vt:lpstr>M_L_DCM</vt:lpstr>
      <vt:lpstr>Np</vt:lpstr>
      <vt:lpstr>POUT</vt:lpstr>
      <vt:lpstr>Q</vt:lpstr>
      <vt:lpstr>Q_VINmin</vt:lpstr>
      <vt:lpstr>Qg_tot</vt:lpstr>
      <vt:lpstr>Qg_tot_HS</vt:lpstr>
      <vt:lpstr>Qgd</vt:lpstr>
      <vt:lpstr>Qgs</vt:lpstr>
      <vt:lpstr>Qrr</vt:lpstr>
      <vt:lpstr>R_cs</vt:lpstr>
      <vt:lpstr>R_sl</vt:lpstr>
      <vt:lpstr>RCOMP</vt:lpstr>
      <vt:lpstr>RCOMP_Calc</vt:lpstr>
      <vt:lpstr>Rcomp_calc_CCM</vt:lpstr>
      <vt:lpstr>RCOMP_CALC_DCM</vt:lpstr>
      <vt:lpstr>Rcs_max</vt:lpstr>
      <vt:lpstr>Rcs_wo_sl</vt:lpstr>
      <vt:lpstr>Rdcr</vt:lpstr>
      <vt:lpstr>RDS_on</vt:lpstr>
      <vt:lpstr>RDS_on_HS</vt:lpstr>
      <vt:lpstr>Resr</vt:lpstr>
      <vt:lpstr>RFBB</vt:lpstr>
      <vt:lpstr>RFBB_calc</vt:lpstr>
      <vt:lpstr>RFBT</vt:lpstr>
      <vt:lpstr>Rgate</vt:lpstr>
      <vt:lpstr>Rmax</vt:lpstr>
      <vt:lpstr>Rmax_high</vt:lpstr>
      <vt:lpstr>Rmax_low</vt:lpstr>
      <vt:lpstr>Rmin</vt:lpstr>
      <vt:lpstr>Rmin_high</vt:lpstr>
      <vt:lpstr>Rmin_low</vt:lpstr>
      <vt:lpstr>ROUT</vt:lpstr>
      <vt:lpstr>Rsl_int</vt:lpstr>
      <vt:lpstr>RT</vt:lpstr>
      <vt:lpstr>Ruvlo_bottom_calc</vt:lpstr>
      <vt:lpstr>Ruvlo_top</vt:lpstr>
      <vt:lpstr>Ruvlo_top_calc</vt:lpstr>
      <vt:lpstr>SCH_1</vt:lpstr>
      <vt:lpstr>SCH_2</vt:lpstr>
      <vt:lpstr>SCH_3</vt:lpstr>
      <vt:lpstr>Se_VINmin</vt:lpstr>
      <vt:lpstr>Sn_VINmin</vt:lpstr>
      <vt:lpstr>t_dead</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VIN_op_min</vt:lpstr>
      <vt:lpstr>VIN_var</vt:lpstr>
      <vt:lpstr>VOUT</vt:lpstr>
      <vt:lpstr>VOUT_range</vt:lpstr>
      <vt:lpstr>Vout_rip_sel</vt:lpstr>
      <vt:lpstr>Vref</vt:lpstr>
      <vt:lpstr>Vsl</vt:lpstr>
      <vt:lpstr>Vth</vt:lpstr>
      <vt:lpstr>VTRK</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Alex Kharitonov</cp:lastModifiedBy>
  <cp:lastPrinted>2018-08-09T07:13:51Z</cp:lastPrinted>
  <dcterms:created xsi:type="dcterms:W3CDTF">2018-06-26T09:13:29Z</dcterms:created>
  <dcterms:modified xsi:type="dcterms:W3CDTF">2024-07-08T15:45:50Z</dcterms:modified>
</cp:coreProperties>
</file>